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990" windowHeight="7680"/>
  </bookViews>
  <sheets>
    <sheet name="TOTAL" sheetId="5" r:id="rId1"/>
    <sheet name="Titulación" sheetId="7" r:id="rId2"/>
    <sheet name="Certificaciones" sheetId="8" r:id="rId3"/>
    <sheet name="Experiencia" sheetId="9" r:id="rId4"/>
    <sheet name="Idioma" sheetId="10" r:id="rId5"/>
    <sheet name="Capacitación" sheetId="1" r:id="rId6"/>
  </sheets>
  <definedNames>
    <definedName name="RIdioma">TPuntos_Idioma[Código]</definedName>
    <definedName name="RTitulaciones">TPesos_Titulo[Código]</definedName>
    <definedName name="RValores">TValor[Nivel de Conocimiento]</definedName>
    <definedName name="_xlnm.Print_Titles" localSheetId="5">Capacitación!$18:$18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8"/>
  <c r="F17"/>
  <c r="F18"/>
  <c r="F19"/>
  <c r="F20"/>
  <c r="F21"/>
  <c r="F22"/>
  <c r="F15"/>
  <c r="F14"/>
  <c r="F13"/>
  <c r="F12"/>
  <c r="P20" i="1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R50" s="1"/>
  <c r="P19"/>
  <c r="R19" s="1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19"/>
  <c r="C12" i="5"/>
  <c r="D17" i="9"/>
  <c r="D18"/>
  <c r="D19"/>
  <c r="D20"/>
  <c r="D21"/>
  <c r="D22"/>
  <c r="D23"/>
  <c r="D16"/>
  <c r="D15"/>
  <c r="D14"/>
  <c r="F7"/>
  <c r="F8"/>
  <c r="F6"/>
  <c r="D13"/>
  <c r="D21" i="10"/>
  <c r="D22"/>
  <c r="D23"/>
  <c r="D24"/>
  <c r="D25"/>
  <c r="D26"/>
  <c r="D27"/>
  <c r="D20"/>
  <c r="D19"/>
  <c r="D18"/>
  <c r="D17"/>
  <c r="E18" i="7"/>
  <c r="E19"/>
  <c r="E20"/>
  <c r="E21"/>
  <c r="E22"/>
  <c r="E23"/>
  <c r="E24"/>
  <c r="E17"/>
  <c r="E15"/>
  <c r="E16"/>
  <c r="E14"/>
  <c r="R20" i="1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Q51"/>
  <c r="D28" i="10" l="1"/>
  <c r="R51" i="1"/>
  <c r="D9" i="5" s="1"/>
  <c r="D10" s="1"/>
  <c r="F9" i="9"/>
  <c r="E25" i="7"/>
  <c r="D5" i="5" s="1"/>
  <c r="D11"/>
  <c r="D8"/>
  <c r="F23" i="8"/>
  <c r="D6" i="5" s="1"/>
  <c r="D24" i="9"/>
  <c r="D7" i="5" s="1"/>
  <c r="D12" l="1"/>
</calcChain>
</file>

<file path=xl/sharedStrings.xml><?xml version="1.0" encoding="utf-8"?>
<sst xmlns="http://schemas.openxmlformats.org/spreadsheetml/2006/main" count="629" uniqueCount="137">
  <si>
    <t>JP</t>
  </si>
  <si>
    <t>C1</t>
  </si>
  <si>
    <t>C2</t>
  </si>
  <si>
    <t>T1</t>
  </si>
  <si>
    <t>T2</t>
  </si>
  <si>
    <t>T3</t>
  </si>
  <si>
    <t>T4</t>
  </si>
  <si>
    <t>T5</t>
  </si>
  <si>
    <t>T6</t>
  </si>
  <si>
    <t>T7</t>
  </si>
  <si>
    <t>T8</t>
  </si>
  <si>
    <t>Drupal</t>
  </si>
  <si>
    <t>PHP</t>
  </si>
  <si>
    <t>Python</t>
  </si>
  <si>
    <t>C/C++</t>
  </si>
  <si>
    <t>Peso</t>
  </si>
  <si>
    <t>HTML+CSS</t>
  </si>
  <si>
    <t>jQuery</t>
  </si>
  <si>
    <t>MySQL/PostgreSQL</t>
  </si>
  <si>
    <t>MongoDB/CouchDB</t>
  </si>
  <si>
    <t>Apache</t>
  </si>
  <si>
    <t>OpenLDAP</t>
  </si>
  <si>
    <t>Mailman</t>
  </si>
  <si>
    <t>Tomcat/Jboss/Jetty</t>
  </si>
  <si>
    <t>Accesibilidad y usabilidad</t>
  </si>
  <si>
    <t>Bastionado de equipos</t>
  </si>
  <si>
    <t>Jenkins</t>
  </si>
  <si>
    <t>Sonar</t>
  </si>
  <si>
    <t>Nexus</t>
  </si>
  <si>
    <t>Maven</t>
  </si>
  <si>
    <t>C</t>
  </si>
  <si>
    <t>T</t>
  </si>
  <si>
    <t>Total</t>
  </si>
  <si>
    <t>Patrones de diseño</t>
  </si>
  <si>
    <t>Java J2EE, Struts, Spring, Hibernate</t>
  </si>
  <si>
    <t>Android</t>
  </si>
  <si>
    <t>Ajax</t>
  </si>
  <si>
    <t>CAS</t>
  </si>
  <si>
    <t>REST/SOAP/Axis</t>
  </si>
  <si>
    <t>Seguridad de la información y Desarrollo Seguro</t>
  </si>
  <si>
    <t>Rendimiento, Benchmarking y pruebas de carga</t>
  </si>
  <si>
    <t>Análisis de código estático para accesibilidad / calidad / seguridad</t>
  </si>
  <si>
    <t>Metodologías Scrum/Kanban</t>
  </si>
  <si>
    <t>Sistemas de publicación de contenidos (CMS)</t>
  </si>
  <si>
    <t>Desarrollo guiado por las pruebas (TDD)</t>
  </si>
  <si>
    <t>Administración Sistemas operativos Windows y Linux</t>
  </si>
  <si>
    <t>Gestor de tickets Jira</t>
  </si>
  <si>
    <t>Ponderación conocimiento</t>
  </si>
  <si>
    <t>Total general</t>
  </si>
  <si>
    <t>Total Ponderado por perfiles</t>
  </si>
  <si>
    <t>Tecnología</t>
  </si>
  <si>
    <t>Num</t>
  </si>
  <si>
    <t>NO</t>
  </si>
  <si>
    <t>BAJO</t>
  </si>
  <si>
    <t>MEDIO</t>
  </si>
  <si>
    <t>ALTO</t>
  </si>
  <si>
    <t>Perfil</t>
  </si>
  <si>
    <t>Valor</t>
  </si>
  <si>
    <t>NULO</t>
  </si>
  <si>
    <t>Requiere Formación</t>
  </si>
  <si>
    <t>Bonus Extra Equipo</t>
  </si>
  <si>
    <t>Titulación</t>
  </si>
  <si>
    <t>Años Experiencia</t>
  </si>
  <si>
    <t>Puntos</t>
  </si>
  <si>
    <t>Código</t>
  </si>
  <si>
    <t>TS</t>
  </si>
  <si>
    <t>TM</t>
  </si>
  <si>
    <t>FP</t>
  </si>
  <si>
    <t>EQUIPO</t>
  </si>
  <si>
    <t>Certificación</t>
  </si>
  <si>
    <t>JP Puntos</t>
  </si>
  <si>
    <t>C Puntos</t>
  </si>
  <si>
    <t>T Puntos</t>
  </si>
  <si>
    <t>GP</t>
  </si>
  <si>
    <t>DA</t>
  </si>
  <si>
    <t>DD</t>
  </si>
  <si>
    <t>Descripción</t>
  </si>
  <si>
    <t>A1/2</t>
  </si>
  <si>
    <t>B1</t>
  </si>
  <si>
    <t>B2</t>
  </si>
  <si>
    <t>Usuario básico</t>
  </si>
  <si>
    <t>Usuario independiente</t>
  </si>
  <si>
    <t>Usuario competente</t>
  </si>
  <si>
    <t>Total Titulación</t>
  </si>
  <si>
    <t>Total Certificaciones</t>
  </si>
  <si>
    <t>Total Experiencia</t>
  </si>
  <si>
    <t>Total Idioma</t>
  </si>
  <si>
    <t>Total Capacitación</t>
  </si>
  <si>
    <t>EC</t>
  </si>
  <si>
    <t>Sin titulación o titulaciones no finalizadas</t>
  </si>
  <si>
    <t>Jefe de Proyecto</t>
  </si>
  <si>
    <t>Coordinador</t>
  </si>
  <si>
    <t>Técnico</t>
  </si>
  <si>
    <t>Nivel de Conocimiento</t>
  </si>
  <si>
    <t>Máximo Posible</t>
  </si>
  <si>
    <t>Valor Obtenido</t>
  </si>
  <si>
    <t>Puntuación Total Obtenida</t>
  </si>
  <si>
    <t>Titulación del equipo de trabajo</t>
  </si>
  <si>
    <t>Códigos y Puntuaciones</t>
  </si>
  <si>
    <t>Valores</t>
  </si>
  <si>
    <t>Certificaciones del equipo de trabajo</t>
  </si>
  <si>
    <t>Nivel Inglés del equipo de trabajo</t>
  </si>
  <si>
    <t>Capacitación del equipo de trabajo</t>
  </si>
  <si>
    <t>(No rellenar esta hoja. Cálculos automáticos)</t>
  </si>
  <si>
    <t>(Completar las casillas sombreadas en amarillo)</t>
  </si>
  <si>
    <t>Señalar el nivel de idiomas según la escala global de niveles comunes del marco de referencia del Consejo de Europa (A1, A2, B1, B2, C1, C2)</t>
  </si>
  <si>
    <t>http://europass.cedefop.europa.eu/es/resources/european-language-levels-cefr/cef-ell-document.pdf</t>
  </si>
  <si>
    <t>Nivel</t>
  </si>
  <si>
    <t>Titulación Universitaria de grado superior en informática u otras materias relacionadas con tecnologías de la información.</t>
  </si>
  <si>
    <t>Titulación Universitaria de grado medio en informática u otras materias relacionadas con tecnologías de la información.</t>
  </si>
  <si>
    <t>Titulación FP en informática u otras materias relacionadas con tecnologías de la información.</t>
  </si>
  <si>
    <t>Titulación FP o universitaria en curso en informática u otras materias relacionadas con tecnologías de la información (más del 70% de los créditos o asignaturas superadas)</t>
  </si>
  <si>
    <t>Gestión de proyectos (PMP, Prince2 u otras con contenidos análogos)</t>
  </si>
  <si>
    <t>Desarrollo seguro de aplicaciones (CSSLP,  ECSP u otras con contenidos análogos)</t>
  </si>
  <si>
    <t>No experiencia</t>
  </si>
  <si>
    <t>Hasta 6 meses de experiencia</t>
  </si>
  <si>
    <t>Más de 6 meses y hasta 1 año de experiencia</t>
  </si>
  <si>
    <t>Más de 1 año de experiencia</t>
  </si>
  <si>
    <t>Puntuación máxima por cada tipo de perfil</t>
  </si>
  <si>
    <t>Puntos por cada año adicional que supere el umbral mínimo</t>
  </si>
  <si>
    <t>Umbral Mínimo
Exigido
(años)</t>
  </si>
  <si>
    <t>Umbral Máximo
(años)</t>
  </si>
  <si>
    <t>Descripción de la Titulación</t>
  </si>
  <si>
    <t>Ingeniería Informática Superior. Universidad XX</t>
  </si>
  <si>
    <t>Técnico Superior en Desarrollo de Aplicaciones. Centro XX</t>
  </si>
  <si>
    <t>Ingeniería Técnica Informática. Universidad XX</t>
  </si>
  <si>
    <t xml:space="preserve"> Técnico Superior en Desarrollo de Aplicaciones. Centro XX</t>
  </si>
  <si>
    <t>PMP</t>
  </si>
  <si>
    <t>Prince2</t>
  </si>
  <si>
    <t>Metodología de desarrollo ágil Scrum (Certified ScrumMaster, Scrum Manager u otras con contenidos análogos)</t>
  </si>
  <si>
    <t>CSSLP</t>
  </si>
  <si>
    <t>Scrum Master</t>
  </si>
  <si>
    <t>Scrum Manager</t>
  </si>
  <si>
    <t>ECSP</t>
  </si>
  <si>
    <t>Puntuación por cada tipo de perfil</t>
  </si>
  <si>
    <t>Puntuación por categoría de certificación y tipo de perfil</t>
  </si>
  <si>
    <t>Máxima Puntuación por perfil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</si>
</sst>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scheme val="minor"/>
    </font>
    <font>
      <sz val="11"/>
      <color rgb="FF000000"/>
      <name val="Calibri"/>
      <family val="2"/>
    </font>
    <font>
      <sz val="14"/>
      <color theme="1"/>
      <name val="Verdana"/>
      <family val="2"/>
    </font>
    <font>
      <u/>
      <sz val="11"/>
      <color theme="10"/>
      <name val="Calibri"/>
      <family val="2"/>
    </font>
    <font>
      <sz val="5"/>
      <color theme="1"/>
      <name val="Arial"/>
      <family val="2"/>
    </font>
    <font>
      <sz val="5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scheme val="minor"/>
    </font>
    <font>
      <sz val="5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4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3" fillId="0" borderId="0" xfId="0" applyFont="1"/>
    <xf numFmtId="0" fontId="0" fillId="5" borderId="0" xfId="0" applyFill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5" borderId="0" xfId="0" applyFont="1" applyFill="1" applyAlignment="1" applyProtection="1">
      <alignment horizontal="center" vertical="center"/>
      <protection locked="0"/>
    </xf>
    <xf numFmtId="2" fontId="15" fillId="0" borderId="0" xfId="0" applyNumberFormat="1" applyFont="1" applyAlignment="1">
      <alignment horizontal="center" vertical="center"/>
    </xf>
    <xf numFmtId="9" fontId="15" fillId="0" borderId="0" xfId="1" applyFont="1" applyAlignment="1">
      <alignment horizontal="center" vertical="center"/>
    </xf>
    <xf numFmtId="2" fontId="15" fillId="0" borderId="0" xfId="0" applyNumberFormat="1" applyFont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9" fontId="20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0" fillId="5" borderId="0" xfId="0" applyFill="1" applyAlignment="1" applyProtection="1">
      <alignment horizontal="left" vertical="center" wrapText="1"/>
      <protection locked="0"/>
    </xf>
    <xf numFmtId="2" fontId="0" fillId="0" borderId="0" xfId="0" applyNumberFormat="1" applyAlignment="1">
      <alignment horizontal="center" vertical="center"/>
    </xf>
    <xf numFmtId="2" fontId="8" fillId="4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2" applyAlignment="1" applyProtection="1">
      <alignment horizontal="left" wrapText="1"/>
    </xf>
    <xf numFmtId="0" fontId="16" fillId="3" borderId="0" xfId="0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Porcentual" xfId="1" builtinId="5"/>
  </cellStyles>
  <dxfs count="130"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numFmt numFmtId="2" formatCode="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numFmt numFmtId="2" formatCode="0.00"/>
      <alignment horizontal="general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numFmt numFmtId="13" formatCode="0%"/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numFmt numFmtId="2" formatCode="0.00"/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numFmt numFmtId="2" formatCode="0.00"/>
      <alignment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general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alignment horizontal="general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alignment textRotation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alignment textRotation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5"/>
        <name val="Arial"/>
        <scheme val="none"/>
      </font>
      <alignment horizontal="center" vertical="center" textRotation="0" wrapText="1" indent="0" relativeIndent="0" justifyLastLine="0" shrinkToFit="0" mergeCell="0" readingOrder="0"/>
    </dxf>
    <dxf>
      <fill>
        <patternFill>
          <bgColor rgb="FFFF0000"/>
        </patternFill>
      </fill>
    </dxf>
    <dxf>
      <font>
        <color rgb="FFFF0000"/>
      </font>
    </dxf>
    <dxf>
      <font>
        <color rgb="FFD2A000"/>
      </font>
    </dxf>
    <dxf>
      <font>
        <color rgb="FF00B0F0"/>
      </font>
    </dxf>
    <dxf>
      <font>
        <color rgb="FF00B050"/>
      </font>
    </dxf>
    <dxf>
      <alignment horizontal="general" vertical="center" textRotation="0" wrapText="0" indent="0" relativeIndent="0" justifyLastLine="0" shrinkToFit="0" mergeCell="0" readingOrder="0"/>
    </dxf>
    <dxf>
      <numFmt numFmtId="2" formatCode="0.00"/>
      <alignment horizontal="general" vertical="center" textRotation="0" wrapText="0" indent="0" relativeIndent="255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vertical="center" textRotation="0" indent="0" relativeIndent="255" justifyLastLine="0" shrinkToFit="0" mergeCell="0" readingOrder="0"/>
    </dxf>
    <dxf>
      <alignment vertical="center" textRotation="0" indent="0" relativeIndent="255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alignment horizontal="left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numFmt numFmtId="2" formatCode="0.00"/>
      <alignment horizontal="general" vertical="center" textRotation="0" wrapText="0" indent="0" relativeIndent="255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fill>
        <patternFill patternType="solid">
          <fgColor indexed="64"/>
          <bgColor rgb="FFFFFFCC"/>
        </patternFill>
      </fill>
      <alignment horizontal="general" vertical="center" textRotation="0" wrapText="0" indent="0" relativeIndent="255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vertical="center" textRotation="0" indent="0" relativeIndent="255" justifyLastLine="0" shrinkToFit="0" mergeCell="0" readingOrder="0"/>
    </dxf>
    <dxf>
      <alignment vertical="center" textRotation="0" indent="0" relativeIndent="255" justifyLastLine="0" shrinkToFit="0" mergeCell="0" readingOrder="0"/>
    </dxf>
    <dxf>
      <alignment vertical="center" textRotation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general" vertical="center" textRotation="0" wrapText="0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numFmt numFmtId="2" formatCode="0.00"/>
      <alignment vertical="center" textRotation="0" indent="0" relativeIndent="255" justifyLastLine="0" shrinkToFit="0" mergeCell="0" readingOrder="0"/>
    </dxf>
    <dxf>
      <numFmt numFmtId="2" formatCode="0.00"/>
      <alignment vertical="center" textRotation="0" indent="0" relativeIndent="255" justifyLastLine="0" shrinkToFit="0" mergeCell="0" readingOrder="0"/>
    </dxf>
    <dxf>
      <numFmt numFmtId="2" formatCode="0.00"/>
      <alignment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relativeIndent="255" justifyLastLine="0" shrinkToFit="0" mergeCell="0" readingOrder="0"/>
    </dxf>
    <dxf>
      <border outline="0">
        <top style="thin">
          <color theme="4" tint="0.39997558519241921"/>
        </top>
      </border>
    </dxf>
    <dxf>
      <alignment vertical="center" textRotation="0" indent="0" relativeIndent="255" justifyLastLine="0" shrinkToFit="0" mergeCell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255" justifyLastLine="0" shrinkToFit="0" mergeCell="0" readingOrder="0"/>
    </dxf>
    <dxf>
      <numFmt numFmtId="2" formatCode="0.00"/>
    </dxf>
    <dxf>
      <numFmt numFmtId="2" formatCode="0.00"/>
    </dxf>
    <dxf>
      <font>
        <b/>
      </font>
      <alignment horizontal="center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indent="0" relativeIndent="255" justifyLastLine="0" shrinkToFit="0" mergeCell="0" readingOrder="0"/>
    </dxf>
    <dxf>
      <numFmt numFmtId="2" formatCode="0.00"/>
      <alignment horizontal="general" vertical="center" textRotation="0" wrapText="0" indent="0" relativeIndent="0" justifyLastLine="0" shrinkToFit="0" mergeCell="0" readingOrder="0"/>
    </dxf>
    <dxf>
      <numFmt numFmtId="2" formatCode="0.00"/>
      <alignment horizontal="general" vertical="center" textRotation="0" wrapText="0" indent="0" relativeIndent="255" justifyLastLine="0" shrinkToFit="0" mergeCell="0" readingOrder="0"/>
    </dxf>
    <dxf>
      <alignment horizontal="general" vertical="center" textRotation="0" wrapText="0" indent="0" relativeIndent="0" justifyLastLine="0" shrinkToFit="0" mergeCell="0" readingOrder="0"/>
    </dxf>
    <dxf>
      <fill>
        <patternFill patternType="solid">
          <fgColor indexed="64"/>
          <bgColor rgb="FFFFFFCC"/>
        </patternFill>
      </fill>
      <alignment horizontal="left" vertical="center" textRotation="0" wrapText="1" indent="0" relativeIndent="255" justifyLastLine="0" shrinkToFit="0" mergeCell="0" readingOrder="0"/>
      <protection locked="0" hidden="0"/>
    </dxf>
    <dxf>
      <alignment horizontal="general" vertical="center" textRotation="0" wrapText="0" indent="0" relativeIndent="0" justifyLastLine="0" shrinkToFit="0" mergeCell="0" readingOrder="0"/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vertical="center" textRotation="0" indent="0" relativeIndent="255" justifyLastLine="0" shrinkToFit="0" mergeCell="0" readingOrder="0"/>
    </dxf>
    <dxf>
      <alignment vertical="center" textRotation="0" indent="0" relativeIndent="255" justifyLastLine="0" shrinkToFit="0" mergeCell="0" readingOrder="0"/>
    </dxf>
    <dxf>
      <alignment vertical="center" textRotation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alignment vertical="center" textRotation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/>
      </font>
      <numFmt numFmtId="2" formatCode="0.0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CC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Total" displayName="TTotal" ref="B4:D12" totalsRowCount="1">
  <autoFilter ref="B4:D11">
    <filterColumn colId="1"/>
  </autoFilter>
  <tableColumns count="3">
    <tableColumn id="1" name="Descripción" totalsRowLabel="Total"/>
    <tableColumn id="3" name="Máximo Posible" totalsRowFunction="sum" dataDxfId="129" totalsRowDxfId="128"/>
    <tableColumn id="2" name="Valor Obtenido" totalsRowFunction="custom" dataDxfId="127" totalsRowDxfId="126">
      <calculatedColumnFormula>IFERROR(VLOOKUP(0,TTecnologías[Total],1,FALSE),4)</calculatedColumnFormula>
      <totalsRowFormula>IFERROR(VLOOKUP("NO",[Valor Obtenido],1,FALSE),SUBTOTAL(109,[Valor Obtenido]))</totalsRow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3" name="TTecnologías" displayName="TTecnologías" ref="B18:R51" totalsRowCount="1" headerRowDxfId="46" dataDxfId="45" totalsRowDxfId="44">
  <autoFilter ref="B18:R50"/>
  <tableColumns count="17">
    <tableColumn id="1" name="Num" totalsRowLabel="Total" dataDxfId="43" totalsRowDxfId="42"/>
    <tableColumn id="2" name="Tecnología" dataDxfId="41" totalsRowDxfId="40"/>
    <tableColumn id="3" name="JP" dataDxfId="39" totalsRowDxfId="38"/>
    <tableColumn id="4" name="C1" dataDxfId="37" totalsRowDxfId="36"/>
    <tableColumn id="5" name="C2" dataDxfId="35" totalsRowDxfId="34"/>
    <tableColumn id="6" name="T1" dataDxfId="33" totalsRowDxfId="32"/>
    <tableColumn id="7" name="T2" dataDxfId="31" totalsRowDxfId="30"/>
    <tableColumn id="8" name="T3" dataDxfId="29" totalsRowDxfId="28"/>
    <tableColumn id="9" name="T4" dataDxfId="27" totalsRowDxfId="26"/>
    <tableColumn id="10" name="T5" dataDxfId="25" totalsRowDxfId="24"/>
    <tableColumn id="11" name="T6" dataDxfId="23" totalsRowDxfId="22"/>
    <tableColumn id="12" name="T7" dataDxfId="21" totalsRowDxfId="20"/>
    <tableColumn id="13" name="T8" dataDxfId="19" totalsRowDxfId="18"/>
    <tableColumn id="14" name="Total" dataDxfId="17" totalsRowDxfId="16">
      <calculatedColumnFormula>VLOOKUP(D19,TValor[],3,FALSE)+VLOOKUP(E19,TValor[],3,FALSE)+VLOOKUP(F19,TValor[],3,FALSE)+VLOOKUP(G19,TValor[],3,FALSE)+VLOOKUP(H19,TValor[],3,FALSE)+VLOOKUP(I19,TValor[],3,FALSE)+VLOOKUP(J19,TValor[],3,FALSE)+VLOOKUP(K19,TValor[],3,FALSE)+VLOOKUP(L19,TValor[],3,FALSE)+VLOOKUP(M19,TValor[],3,FALSE)+VLOOKUP(N19,TValor[],3,FALSE)</calculatedColumnFormula>
    </tableColumn>
    <tableColumn id="15" name="Total Ponderado por perfiles" dataDxfId="15" totalsRowDxfId="14">
      <calculatedColumnFormula>VLOOKUP(D19,TValor[],3,FALSE)*VLOOKUP($D$18,TPerfil[],3,FALSE)+(VLOOKUP(E19,TValor[],3,FALSE)+VLOOKUP(F19,TValor[],3,FALSE))*VLOOKUP(LEFT($E$18,1),TPerfil[],3,FALSE)+(VLOOKUP(G19,TValor[],3,FALSE)+VLOOKUP(H19,TValor[],3,FALSE)+VLOOKUP(I19,TValor[],3,FALSE)+VLOOKUP(J19,TValor[],3,FALSE)+VLOOKUP(K19,TValor[],3,FALSE)+VLOOKUP(L19,TValor[],3,FALSE)+VLOOKUP(M19,TValor[],3,FALSE)+VLOOKUP(N19,TValor[],3,FALSE))*VLOOKUP(LEFT($G$18,1),TPerfil[],3,FALSE)</calculatedColumnFormula>
    </tableColumn>
    <tableColumn id="16" name="Ponderación conocimiento" totalsRowFunction="sum" dataDxfId="13" totalsRowDxfId="12" dataCellStyle="Porcentual"/>
    <tableColumn id="17" name="Total general" totalsRowFunction="custom" dataDxfId="11" totalsRowDxfId="10">
      <calculatedColumnFormula>P19*Q19</calculatedColumnFormula>
      <totalsRowFormula>IF(IFERROR(VLOOKUP(0,[Total],1,FALSE),SUBTOTAL(109,[Total general]))=0,"NO",SUBTOTAL(109,[Total general]))</totalsRow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" name="TPerfil" displayName="TPerfil" ref="B5:D8" totalsRowShown="0" headerRowDxfId="9" dataDxfId="8">
  <autoFilter ref="B5:D8">
    <filterColumn colId="1"/>
    <filterColumn colId="2"/>
  </autoFilter>
  <tableColumns count="3">
    <tableColumn id="1" name="Perfil" dataDxfId="7"/>
    <tableColumn id="3" name="Descripción" dataDxfId="6"/>
    <tableColumn id="4" name="Peso" dataDxfId="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" name="TValor" displayName="TValor" ref="B10:D14" totalsRowShown="0" headerRowDxfId="4" dataDxfId="3">
  <autoFilter ref="B10:D14">
    <filterColumn colId="1"/>
  </autoFilter>
  <tableColumns count="3">
    <tableColumn id="1" name="Nivel de Conocimiento" dataDxfId="2"/>
    <tableColumn id="3" name="Descripción" dataDxfId="1"/>
    <tableColumn id="2" name="Pes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8" name="TPesos_Titulo" displayName="TPesos_Titulo" ref="B5:F10" totalsRowShown="0" headerRowDxfId="125" dataDxfId="124">
  <autoFilter ref="B5:F10">
    <filterColumn colId="1"/>
  </autoFilter>
  <tableColumns count="5">
    <tableColumn id="1" name="Valor" dataDxfId="123"/>
    <tableColumn id="5" name="Código" dataDxfId="122"/>
    <tableColumn id="2" name="JP" dataDxfId="121"/>
    <tableColumn id="3" name="C" dataDxfId="120"/>
    <tableColumn id="4" name="T" dataDxfId="1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TTitulacion" displayName="TTitulacion" ref="B13:E25" totalsRowCount="1" headerRowDxfId="118" dataDxfId="117" totalsRowDxfId="116">
  <autoFilter ref="B13:E24">
    <filterColumn colId="2"/>
  </autoFilter>
  <tableColumns count="4">
    <tableColumn id="1" name="Perfil" totalsRowLabel="Total" dataDxfId="115" totalsRowDxfId="114"/>
    <tableColumn id="2" name="Titulación" dataDxfId="113" totalsRowDxfId="112"/>
    <tableColumn id="4" name="Descripción de la Titulación" dataDxfId="111" totalsRowDxfId="110"/>
    <tableColumn id="3" name="Puntos" totalsRowFunction="custom" dataDxfId="109" totalsRowDxfId="108">
      <calculatedColumnFormula>IF(C14&gt;$D$4,MIN($E$4,C14)*$C$4,0)</calculatedColumnFormula>
      <totalsRowFormula>IFERROR(VLOOKUP("NO",[Puntos],1,FALSE),SUBTOTAL(109,[Puntos]))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Certificaciones" displayName="TCertificaciones" ref="B11:F23" totalsRowCount="1" headerRowDxfId="107">
  <autoFilter ref="B11:F22">
    <filterColumn colId="1"/>
    <filterColumn colId="2"/>
  </autoFilter>
  <tableColumns count="5">
    <tableColumn id="1" name="Perfil" totalsRowLabel="Total" dataDxfId="106" totalsRowDxfId="105"/>
    <tableColumn id="5" name="GP" dataDxfId="104" totalsRowDxfId="103"/>
    <tableColumn id="4" name="DA" dataDxfId="102" totalsRowDxfId="101"/>
    <tableColumn id="2" name="DD" dataDxfId="100"/>
    <tableColumn id="3" name="Puntos" totalsRowFunction="sum" dataDxfId="99" totalsRowDxfId="98">
      <calculatedColumnFormula>IF(F13&gt;$C$1,MIN($D$1,F13)*$B$1,0)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1" name="TC_Certificaciones" displayName="TC_Certificaciones" ref="B5:F8" totalsRowShown="0" headerRowDxfId="97" dataDxfId="95" headerRowBorderDxfId="96" tableBorderDxfId="94">
  <autoFilter ref="B5:F8">
    <filterColumn colId="1"/>
    <filterColumn colId="3"/>
    <filterColumn colId="4"/>
  </autoFilter>
  <tableColumns count="5">
    <tableColumn id="1" name="Certificación" dataDxfId="93"/>
    <tableColumn id="5" name="Código" dataDxfId="92"/>
    <tableColumn id="2" name="JP Puntos" dataDxfId="91"/>
    <tableColumn id="3" name="C Puntos" dataDxfId="90"/>
    <tableColumn id="4" name="T Puntos" dataDxfId="8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Peso_Expe" displayName="TPeso_Expe" ref="B5:F9" totalsRowCount="1" headerRowDxfId="88" dataDxfId="87">
  <autoFilter ref="B5:F8"/>
  <tableColumns count="5">
    <tableColumn id="1" name="Perfil" dataDxfId="86" totalsRowDxfId="85"/>
    <tableColumn id="2" name="Puntos por cada año adicional que supere el umbral mínimo" dataDxfId="84" totalsRowDxfId="83"/>
    <tableColumn id="3" name="Umbral Mínimo_x000a_Exigido_x000a_(años)" dataDxfId="82" totalsRowDxfId="81"/>
    <tableColumn id="4" name="Umbral Máximo_x000a_(años)" dataDxfId="80" totalsRowDxfId="79"/>
    <tableColumn id="5" name="Máxima Puntuación por perfil" totalsRowFunction="sum" dataDxfId="78" totalsRowDxfId="77">
      <calculatedColumnFormula>(TPeso_Expe[[#This Row],[Umbral Máximo
(años)]]-TPeso_Expe[[#This Row],[Umbral Mínimo
Exigido
(años)]])*C6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Experiencia" displayName="TExperiencia" ref="B12:D24" totalsRowCount="1" headerRowDxfId="76" dataDxfId="75" totalsRowDxfId="74">
  <autoFilter ref="B12:D23"/>
  <tableColumns count="3">
    <tableColumn id="1" name="Perfil" totalsRowLabel="Total" dataDxfId="73" totalsRowDxfId="72"/>
    <tableColumn id="2" name="Años Experiencia" dataDxfId="71" totalsRowDxfId="70"/>
    <tableColumn id="3" name="Puntos" totalsRowFunction="sum" dataDxfId="69" totalsRowDxfId="68">
      <calculatedColumnFormula>IF(C13&gt;$D$8,MIN($E$8,C13)*$C$8,0)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3" name="TPuntos_Idioma" displayName="TPuntos_Idioma" ref="B8:F13" totalsRowShown="0" headerRowDxfId="67" dataDxfId="66">
  <autoFilter ref="B8:F13">
    <filterColumn colId="1"/>
    <filterColumn colId="3"/>
    <filterColumn colId="4"/>
  </autoFilter>
  <tableColumns count="5">
    <tableColumn id="2" name="Descripción" dataDxfId="65"/>
    <tableColumn id="6" name="Código" dataDxfId="64"/>
    <tableColumn id="3" name="JP" dataDxfId="63"/>
    <tableColumn id="4" name="C" dataDxfId="62"/>
    <tableColumn id="5" name="T" dataDxfId="6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4" name="TIdioma" displayName="TIdioma" ref="B16:D28" totalsRowCount="1" headerRowDxfId="60" dataDxfId="59" totalsRowDxfId="58">
  <autoFilter ref="B16:D27"/>
  <tableColumns count="3">
    <tableColumn id="1" name="Perfil" totalsRowLabel="Total" dataDxfId="57" totalsRowDxfId="56"/>
    <tableColumn id="2" name="Nivel" dataDxfId="55" totalsRowDxfId="54"/>
    <tableColumn id="3" name="Puntos" totalsRowFunction="custom" dataDxfId="53" totalsRowDxfId="52">
      <calculatedColumnFormula>VLOOKUP(TIdioma[[#This Row],[Nivel]],TPuntos_Idioma[[#All],[Código]:[JP]],2,FALSE)</calculatedColumnFormula>
      <totalsRowFormula>IFERROR(VLOOKUP("NO",[Puntos],1,FALSE),SUBTOTAL(109,[Puntos]))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INTECO">
      <a:dk1>
        <a:srgbClr val="000000"/>
      </a:dk1>
      <a:lt1>
        <a:srgbClr val="FFFFFF"/>
      </a:lt1>
      <a:dk2>
        <a:srgbClr val="FF0000"/>
      </a:dk2>
      <a:lt2>
        <a:srgbClr val="7F7F7F"/>
      </a:lt2>
      <a:accent1>
        <a:srgbClr val="E1120D"/>
      </a:accent1>
      <a:accent2>
        <a:srgbClr val="FF9999"/>
      </a:accent2>
      <a:accent3>
        <a:srgbClr val="FFFFFF"/>
      </a:accent3>
      <a:accent4>
        <a:srgbClr val="000000"/>
      </a:accent4>
      <a:accent5>
        <a:srgbClr val="C4CAE5"/>
      </a:accent5>
      <a:accent6>
        <a:srgbClr val="7030A0"/>
      </a:accent6>
      <a:hlink>
        <a:srgbClr val="0099CC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uropass.cedefop.europa.eu/es/resources/european-language-levels-cefr/cef-ell-document.pdf" TargetMode="External"/><Relationship Id="rId1" Type="http://schemas.openxmlformats.org/officeDocument/2006/relationships/hyperlink" Target="http://europass.cedefop.europa.eu/es/resources/european-language-levels-cefr/cef-ell-document.pdf" TargetMode="Externa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4"/>
  <sheetViews>
    <sheetView showGridLines="0" tabSelected="1" workbookViewId="0">
      <selection activeCell="D2" sqref="D2"/>
    </sheetView>
  </sheetViews>
  <sheetFormatPr baseColWidth="10" defaultColWidth="0" defaultRowHeight="15" zeroHeight="1"/>
  <cols>
    <col min="1" max="1" width="3.28515625" customWidth="1"/>
    <col min="2" max="2" width="31.28515625" customWidth="1"/>
    <col min="3" max="3" width="17.5703125" bestFit="1" customWidth="1"/>
    <col min="4" max="4" width="16.85546875" bestFit="1" customWidth="1"/>
    <col min="5" max="5" width="6" customWidth="1"/>
    <col min="6" max="16384" width="11.42578125" hidden="1"/>
  </cols>
  <sheetData>
    <row r="1" spans="2:4" ht="18">
      <c r="B1" s="19" t="s">
        <v>96</v>
      </c>
    </row>
    <row r="2" spans="2:4">
      <c r="B2" t="s">
        <v>103</v>
      </c>
    </row>
    <row r="3" spans="2:4"/>
    <row r="4" spans="2:4">
      <c r="B4" t="s">
        <v>76</v>
      </c>
      <c r="C4" t="s">
        <v>94</v>
      </c>
      <c r="D4" t="s">
        <v>95</v>
      </c>
    </row>
    <row r="5" spans="2:4">
      <c r="B5" t="s">
        <v>83</v>
      </c>
      <c r="C5" s="35">
        <v>6</v>
      </c>
      <c r="D5" s="33">
        <f>TTitulacion[[#Totals],[Puntos]]</f>
        <v>4.5</v>
      </c>
    </row>
    <row r="6" spans="2:4">
      <c r="B6" t="s">
        <v>84</v>
      </c>
      <c r="C6" s="35">
        <v>10</v>
      </c>
      <c r="D6" s="33">
        <f>TCertificaciones[[#Totals],[Puntos]]</f>
        <v>5.5</v>
      </c>
    </row>
    <row r="7" spans="2:4">
      <c r="B7" t="s">
        <v>85</v>
      </c>
      <c r="C7" s="35">
        <v>16</v>
      </c>
      <c r="D7" s="33">
        <f>TExperiencia[[#Totals],[Puntos]]</f>
        <v>9.4499999999999993</v>
      </c>
    </row>
    <row r="8" spans="2:4">
      <c r="B8" t="s">
        <v>86</v>
      </c>
      <c r="C8" s="35">
        <v>3</v>
      </c>
      <c r="D8" s="33">
        <f>TIdioma[[#Totals],[Puntos]]</f>
        <v>1.5</v>
      </c>
    </row>
    <row r="9" spans="2:4">
      <c r="B9" t="s">
        <v>87</v>
      </c>
      <c r="C9" s="35">
        <v>12</v>
      </c>
      <c r="D9" s="33">
        <f>TTecnologías[[#Totals],[Total general]]</f>
        <v>7.8706499999999959</v>
      </c>
    </row>
    <row r="10" spans="2:4">
      <c r="B10" t="s">
        <v>59</v>
      </c>
      <c r="C10" s="35"/>
      <c r="D10" s="34" t="str">
        <f>IF(D9="NO","",IF(COUNTIF(TTecnologías[Total],"&lt;=36,3")&gt;0,"SI","NO"))</f>
        <v>SI</v>
      </c>
    </row>
    <row r="11" spans="2:4">
      <c r="B11" t="s">
        <v>60</v>
      </c>
      <c r="C11" s="35">
        <v>2</v>
      </c>
      <c r="D11" s="34">
        <f>IF(COUNTIF(TTecnologías[Total],"&lt;72,6")&gt;0,0,2)</f>
        <v>0</v>
      </c>
    </row>
    <row r="12" spans="2:4">
      <c r="B12" t="s">
        <v>32</v>
      </c>
      <c r="C12" s="24">
        <f>SUBTOTAL(109,[Máximo Posible])</f>
        <v>49</v>
      </c>
      <c r="D12" s="33">
        <f>IFERROR(VLOOKUP("NO",[Valor Obtenido],1,FALSE),SUBTOTAL(109,[Valor Obtenido]))</f>
        <v>28.820649999999993</v>
      </c>
    </row>
    <row r="13" spans="2:4" hidden="1"/>
    <row r="14" spans="2:4"/>
  </sheetData>
  <sheetProtection password="BE3A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26"/>
  <sheetViews>
    <sheetView showGridLines="0" topLeftCell="A7" workbookViewId="0">
      <selection activeCell="B13" sqref="B13:E25"/>
    </sheetView>
  </sheetViews>
  <sheetFormatPr baseColWidth="10" defaultColWidth="0" defaultRowHeight="15" zeroHeight="1"/>
  <cols>
    <col min="1" max="1" width="3.85546875" customWidth="1"/>
    <col min="2" max="2" width="50.85546875" customWidth="1"/>
    <col min="3" max="3" width="11" customWidth="1"/>
    <col min="4" max="4" width="27.28515625" customWidth="1"/>
    <col min="5" max="5" width="7.5703125" customWidth="1"/>
    <col min="6" max="6" width="23.42578125" customWidth="1"/>
    <col min="7" max="7" width="7.85546875" customWidth="1"/>
    <col min="8" max="8" width="14.28515625" hidden="1" customWidth="1"/>
    <col min="9" max="9" width="9.42578125" hidden="1" customWidth="1"/>
    <col min="10" max="10" width="11.42578125" hidden="1" customWidth="1"/>
    <col min="11" max="11" width="11.85546875" hidden="1" customWidth="1"/>
    <col min="12" max="16384" width="11.42578125" hidden="1"/>
  </cols>
  <sheetData>
    <row r="1" spans="2:6" ht="18">
      <c r="B1" s="19" t="s">
        <v>97</v>
      </c>
    </row>
    <row r="2" spans="2:6">
      <c r="B2" t="s">
        <v>104</v>
      </c>
    </row>
    <row r="3" spans="2:6"/>
    <row r="4" spans="2:6" ht="39.75" customHeight="1">
      <c r="B4" t="s">
        <v>98</v>
      </c>
      <c r="D4" s="59" t="s">
        <v>134</v>
      </c>
      <c r="E4" s="60"/>
      <c r="F4" s="60"/>
    </row>
    <row r="5" spans="2:6">
      <c r="B5" s="3" t="s">
        <v>57</v>
      </c>
      <c r="C5" s="3" t="s">
        <v>64</v>
      </c>
      <c r="D5" s="3" t="s">
        <v>0</v>
      </c>
      <c r="E5" s="3" t="s">
        <v>30</v>
      </c>
      <c r="F5" s="3" t="s">
        <v>31</v>
      </c>
    </row>
    <row r="6" spans="2:6" ht="42.75">
      <c r="B6" s="41" t="s">
        <v>108</v>
      </c>
      <c r="C6" s="10" t="s">
        <v>65</v>
      </c>
      <c r="D6" s="51">
        <v>1.8</v>
      </c>
      <c r="E6" s="51">
        <v>0.9</v>
      </c>
      <c r="F6" s="51">
        <v>0.3</v>
      </c>
    </row>
    <row r="7" spans="2:6" ht="42.75">
      <c r="B7" s="41" t="s">
        <v>109</v>
      </c>
      <c r="C7" s="10" t="s">
        <v>66</v>
      </c>
      <c r="D7" s="51">
        <v>0.9</v>
      </c>
      <c r="E7" s="51">
        <v>0.5</v>
      </c>
      <c r="F7" s="51">
        <v>0.2</v>
      </c>
    </row>
    <row r="8" spans="2:6" ht="28.5">
      <c r="B8" s="41" t="s">
        <v>110</v>
      </c>
      <c r="C8" s="10" t="s">
        <v>67</v>
      </c>
      <c r="D8" s="51">
        <v>0</v>
      </c>
      <c r="E8" s="51">
        <v>0</v>
      </c>
      <c r="F8" s="51">
        <v>0.1</v>
      </c>
    </row>
    <row r="9" spans="2:6" ht="57">
      <c r="B9" s="41" t="s">
        <v>111</v>
      </c>
      <c r="C9" s="13" t="s">
        <v>88</v>
      </c>
      <c r="D9" s="7" t="s">
        <v>52</v>
      </c>
      <c r="E9" s="7" t="s">
        <v>52</v>
      </c>
      <c r="F9" s="3">
        <v>0</v>
      </c>
    </row>
    <row r="10" spans="2:6">
      <c r="B10" s="13" t="s">
        <v>89</v>
      </c>
      <c r="C10" s="10" t="s">
        <v>52</v>
      </c>
      <c r="D10" s="7" t="s">
        <v>52</v>
      </c>
      <c r="E10" s="7" t="s">
        <v>52</v>
      </c>
      <c r="F10" s="7" t="s">
        <v>52</v>
      </c>
    </row>
    <row r="11" spans="2:6"/>
    <row r="12" spans="2:6">
      <c r="B12" t="s">
        <v>99</v>
      </c>
    </row>
    <row r="13" spans="2:6">
      <c r="B13" s="2" t="s">
        <v>56</v>
      </c>
      <c r="C13" s="4" t="s">
        <v>61</v>
      </c>
      <c r="D13" s="5" t="s">
        <v>122</v>
      </c>
      <c r="E13" s="2" t="s">
        <v>63</v>
      </c>
    </row>
    <row r="14" spans="2:6" ht="30">
      <c r="B14" s="6" t="s">
        <v>0</v>
      </c>
      <c r="C14" s="20" t="s">
        <v>65</v>
      </c>
      <c r="D14" s="50" t="s">
        <v>123</v>
      </c>
      <c r="E14" s="49">
        <f>VLOOKUP(TTitulacion[[#This Row],[Titulación]],TPesos_Titulo[[Código]:[JP]],2,FALSE)</f>
        <v>1.8</v>
      </c>
    </row>
    <row r="15" spans="2:6" ht="30">
      <c r="B15" s="6" t="s">
        <v>1</v>
      </c>
      <c r="C15" s="20" t="s">
        <v>65</v>
      </c>
      <c r="D15" s="50" t="s">
        <v>123</v>
      </c>
      <c r="E15" s="49">
        <f>VLOOKUP(TTitulacion[[#This Row],[Titulación]],TPesos_Titulo[[Código]:[C]],3,FALSE)</f>
        <v>0.9</v>
      </c>
    </row>
    <row r="16" spans="2:6" ht="15" customHeight="1">
      <c r="B16" s="6" t="s">
        <v>2</v>
      </c>
      <c r="C16" s="20" t="s">
        <v>66</v>
      </c>
      <c r="D16" s="50" t="s">
        <v>125</v>
      </c>
      <c r="E16" s="49">
        <f>VLOOKUP(TTitulacion[[#This Row],[Titulación]],TPesos_Titulo[[Código]:[C]],3,FALSE)</f>
        <v>0.5</v>
      </c>
    </row>
    <row r="17" spans="2:5" ht="30" customHeight="1">
      <c r="B17" s="6" t="s">
        <v>3</v>
      </c>
      <c r="C17" s="20" t="s">
        <v>67</v>
      </c>
      <c r="D17" s="50" t="s">
        <v>124</v>
      </c>
      <c r="E17" s="49">
        <f>VLOOKUP(TTitulacion[[#This Row],[Titulación]],TPesos_Titulo[[Código]:[T]],4,FALSE)</f>
        <v>0.1</v>
      </c>
    </row>
    <row r="18" spans="2:5" ht="15" customHeight="1">
      <c r="B18" s="6" t="s">
        <v>4</v>
      </c>
      <c r="C18" s="20" t="s">
        <v>88</v>
      </c>
      <c r="D18" s="50" t="s">
        <v>125</v>
      </c>
      <c r="E18" s="49">
        <f>VLOOKUP(TTitulacion[[#This Row],[Titulación]],TPesos_Titulo[[Código]:[T]],4,FALSE)</f>
        <v>0</v>
      </c>
    </row>
    <row r="19" spans="2:5" ht="45">
      <c r="B19" s="6" t="s">
        <v>5</v>
      </c>
      <c r="C19" s="20" t="s">
        <v>67</v>
      </c>
      <c r="D19" s="50" t="s">
        <v>126</v>
      </c>
      <c r="E19" s="49">
        <f>VLOOKUP(TTitulacion[[#This Row],[Titulación]],TPesos_Titulo[[Código]:[T]],4,FALSE)</f>
        <v>0.1</v>
      </c>
    </row>
    <row r="20" spans="2:5" ht="30">
      <c r="B20" s="6" t="s">
        <v>6</v>
      </c>
      <c r="C20" s="20" t="s">
        <v>65</v>
      </c>
      <c r="D20" s="50" t="s">
        <v>123</v>
      </c>
      <c r="E20" s="49">
        <f>VLOOKUP(TTitulacion[[#This Row],[Titulación]],TPesos_Titulo[[Código]:[T]],4,FALSE)</f>
        <v>0.3</v>
      </c>
    </row>
    <row r="21" spans="2:5" ht="15" customHeight="1">
      <c r="B21" s="6" t="s">
        <v>7</v>
      </c>
      <c r="C21" s="20" t="s">
        <v>66</v>
      </c>
      <c r="D21" s="50" t="s">
        <v>125</v>
      </c>
      <c r="E21" s="49">
        <f>VLOOKUP(TTitulacion[[#This Row],[Titulación]],TPesos_Titulo[[Código]:[T]],4,FALSE)</f>
        <v>0.2</v>
      </c>
    </row>
    <row r="22" spans="2:5" ht="45">
      <c r="B22" s="6" t="s">
        <v>8</v>
      </c>
      <c r="C22" s="20" t="s">
        <v>67</v>
      </c>
      <c r="D22" s="50" t="s">
        <v>126</v>
      </c>
      <c r="E22" s="49">
        <f>VLOOKUP(TTitulacion[[#This Row],[Titulación]],TPesos_Titulo[[Código]:[T]],4,FALSE)</f>
        <v>0.1</v>
      </c>
    </row>
    <row r="23" spans="2:5" ht="15" customHeight="1">
      <c r="B23" s="6" t="s">
        <v>9</v>
      </c>
      <c r="C23" s="20" t="s">
        <v>66</v>
      </c>
      <c r="D23" s="50" t="s">
        <v>125</v>
      </c>
      <c r="E23" s="49">
        <f>VLOOKUP(TTitulacion[[#This Row],[Titulación]],TPesos_Titulo[[Código]:[T]],4,FALSE)</f>
        <v>0.2</v>
      </c>
    </row>
    <row r="24" spans="2:5" ht="30">
      <c r="B24" s="6" t="s">
        <v>10</v>
      </c>
      <c r="C24" s="20" t="s">
        <v>65</v>
      </c>
      <c r="D24" s="50" t="s">
        <v>123</v>
      </c>
      <c r="E24" s="49">
        <f>VLOOKUP(TTitulacion[[#This Row],[Titulación]],TPesos_Titulo[[Código]:[T]],4,FALSE)</f>
        <v>0.3</v>
      </c>
    </row>
    <row r="25" spans="2:5">
      <c r="B25" s="5" t="s">
        <v>32</v>
      </c>
      <c r="C25" s="2"/>
      <c r="D25" s="2"/>
      <c r="E25" s="49">
        <f>IFERROR(VLOOKUP("NO",[Puntos],1,FALSE),SUBTOTAL(109,[Puntos]))</f>
        <v>4.5</v>
      </c>
    </row>
    <row r="26" spans="2:5"/>
  </sheetData>
  <sheetProtection password="BE3A" sheet="1" objects="1" scenarios="1"/>
  <mergeCells count="1">
    <mergeCell ref="D4:F4"/>
  </mergeCells>
  <dataValidations count="1">
    <dataValidation type="list" allowBlank="1" showInputMessage="1" showErrorMessage="1" sqref="C14:C24">
      <formula1>RTitulaciones</formula1>
    </dataValidation>
  </dataValidations>
  <pageMargins left="0.51" right="0.54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24"/>
  <sheetViews>
    <sheetView showGridLines="0" workbookViewId="0">
      <selection activeCell="D5" sqref="D5"/>
    </sheetView>
  </sheetViews>
  <sheetFormatPr baseColWidth="10" defaultColWidth="0" defaultRowHeight="15" zeroHeight="1"/>
  <cols>
    <col min="1" max="1" width="3.5703125" customWidth="1"/>
    <col min="2" max="2" width="46.5703125" customWidth="1"/>
    <col min="3" max="5" width="22.28515625" customWidth="1"/>
    <col min="6" max="6" width="15.5703125" customWidth="1"/>
    <col min="7" max="7" width="14.7109375" customWidth="1"/>
    <col min="8" max="16384" width="11.42578125" hidden="1"/>
  </cols>
  <sheetData>
    <row r="1" spans="2:6" ht="18">
      <c r="B1" s="19" t="s">
        <v>100</v>
      </c>
    </row>
    <row r="2" spans="2:6">
      <c r="B2" t="s">
        <v>104</v>
      </c>
    </row>
    <row r="3" spans="2:6"/>
    <row r="4" spans="2:6" ht="36.75" customHeight="1">
      <c r="B4" t="s">
        <v>98</v>
      </c>
      <c r="D4" s="59" t="s">
        <v>135</v>
      </c>
      <c r="E4" s="60"/>
      <c r="F4" s="60"/>
    </row>
    <row r="5" spans="2:6">
      <c r="B5" s="14" t="s">
        <v>69</v>
      </c>
      <c r="C5" s="15" t="s">
        <v>64</v>
      </c>
      <c r="D5" s="16" t="s">
        <v>70</v>
      </c>
      <c r="E5" s="15" t="s">
        <v>71</v>
      </c>
      <c r="F5" s="15" t="s">
        <v>72</v>
      </c>
    </row>
    <row r="6" spans="2:6" ht="28.5">
      <c r="B6" s="42" t="s">
        <v>112</v>
      </c>
      <c r="C6" s="11" t="s">
        <v>73</v>
      </c>
      <c r="D6" s="49">
        <v>1.5</v>
      </c>
      <c r="E6" s="49">
        <v>0.5</v>
      </c>
      <c r="F6" s="52" t="s">
        <v>52</v>
      </c>
    </row>
    <row r="7" spans="2:6" ht="42.75">
      <c r="B7" s="58" t="s">
        <v>129</v>
      </c>
      <c r="C7" s="11" t="s">
        <v>74</v>
      </c>
      <c r="D7" s="49">
        <v>1.5</v>
      </c>
      <c r="E7" s="49">
        <v>0.5</v>
      </c>
      <c r="F7" s="49">
        <v>0.25</v>
      </c>
    </row>
    <row r="8" spans="2:6" ht="28.5">
      <c r="B8" s="42" t="s">
        <v>113</v>
      </c>
      <c r="C8" s="11" t="s">
        <v>75</v>
      </c>
      <c r="D8" s="52" t="s">
        <v>52</v>
      </c>
      <c r="E8" s="49">
        <v>0.5</v>
      </c>
      <c r="F8" s="49">
        <v>0.25</v>
      </c>
    </row>
    <row r="9" spans="2:6"/>
    <row r="10" spans="2:6">
      <c r="B10" t="s">
        <v>99</v>
      </c>
    </row>
    <row r="11" spans="2:6">
      <c r="B11" s="3" t="s">
        <v>56</v>
      </c>
      <c r="C11" s="3" t="s">
        <v>73</v>
      </c>
      <c r="D11" s="3" t="s">
        <v>74</v>
      </c>
      <c r="E11" s="4" t="s">
        <v>75</v>
      </c>
      <c r="F11" s="3" t="s">
        <v>63</v>
      </c>
    </row>
    <row r="12" spans="2:6">
      <c r="B12" s="6" t="s">
        <v>0</v>
      </c>
      <c r="C12" s="21" t="s">
        <v>127</v>
      </c>
      <c r="D12" s="21"/>
      <c r="E12" s="9"/>
      <c r="F12" s="53">
        <f>IF(TCertificaciones[[#This Row],[GP]]&lt;&gt;"",D6,0)+IF(TCertificaciones[[#This Row],[DA]]&lt;&gt;"",D7,0)</f>
        <v>1.5</v>
      </c>
    </row>
    <row r="13" spans="2:6">
      <c r="B13" s="6" t="s">
        <v>1</v>
      </c>
      <c r="C13" s="21" t="s">
        <v>128</v>
      </c>
      <c r="D13" s="21" t="s">
        <v>131</v>
      </c>
      <c r="E13" s="22" t="s">
        <v>130</v>
      </c>
      <c r="F13" s="53">
        <f>IF(TCertificaciones[[#This Row],[GP]]&lt;&gt;"",$E$6,0)+IF(TCertificaciones[[#This Row],[DA]]&lt;&gt;"",$E$7,0)+IF(TCertificaciones[[#This Row],[DD]]&lt;&gt;"",$E$8,0)</f>
        <v>1.5</v>
      </c>
    </row>
    <row r="14" spans="2:6">
      <c r="B14" s="6" t="s">
        <v>2</v>
      </c>
      <c r="C14" s="21"/>
      <c r="D14" s="21" t="s">
        <v>132</v>
      </c>
      <c r="E14" s="22"/>
      <c r="F14" s="53">
        <f>IF(TCertificaciones[[#This Row],[GP]]&lt;&gt;"",$E$6,0)+IF(TCertificaciones[[#This Row],[DA]]&lt;&gt;"",$E$7,0)+IF(TCertificaciones[[#This Row],[DD]]&lt;&gt;"",$E$8,0)</f>
        <v>0.5</v>
      </c>
    </row>
    <row r="15" spans="2:6">
      <c r="B15" s="6" t="s">
        <v>3</v>
      </c>
      <c r="C15" s="9"/>
      <c r="D15" s="21" t="s">
        <v>131</v>
      </c>
      <c r="E15" s="22" t="s">
        <v>133</v>
      </c>
      <c r="F15" s="53">
        <f>IF(TCertificaciones[[#This Row],[DA]]&lt;&gt;"",$F$7,0)+IF(TCertificaciones[[#This Row],[DD]]&lt;&gt;"",$F$8,0)</f>
        <v>0.5</v>
      </c>
    </row>
    <row r="16" spans="2:6">
      <c r="B16" s="6" t="s">
        <v>4</v>
      </c>
      <c r="C16" s="9"/>
      <c r="D16" s="21"/>
      <c r="E16" s="22"/>
      <c r="F16" s="53">
        <f>IF(TCertificaciones[[#This Row],[DA]]&lt;&gt;"",$F$7,0)+IF(TCertificaciones[[#This Row],[DD]]&lt;&gt;"",$F$8,0)</f>
        <v>0</v>
      </c>
    </row>
    <row r="17" spans="2:6">
      <c r="B17" s="6" t="s">
        <v>5</v>
      </c>
      <c r="C17" s="9"/>
      <c r="D17" s="21" t="s">
        <v>132</v>
      </c>
      <c r="E17" s="22"/>
      <c r="F17" s="53">
        <f>IF(TCertificaciones[[#This Row],[DA]]&lt;&gt;"",$F$7,0)+IF(TCertificaciones[[#This Row],[DD]]&lt;&gt;"",$F$8,0)</f>
        <v>0.25</v>
      </c>
    </row>
    <row r="18" spans="2:6">
      <c r="B18" s="6" t="s">
        <v>6</v>
      </c>
      <c r="C18" s="9"/>
      <c r="D18" s="21"/>
      <c r="E18" s="22" t="s">
        <v>130</v>
      </c>
      <c r="F18" s="53">
        <f>IF(TCertificaciones[[#This Row],[DA]]&lt;&gt;"",$F$7,0)+IF(TCertificaciones[[#This Row],[DD]]&lt;&gt;"",$F$8,0)</f>
        <v>0.25</v>
      </c>
    </row>
    <row r="19" spans="2:6">
      <c r="B19" s="6" t="s">
        <v>7</v>
      </c>
      <c r="C19" s="9"/>
      <c r="D19" s="21" t="s">
        <v>131</v>
      </c>
      <c r="E19" s="22" t="s">
        <v>133</v>
      </c>
      <c r="F19" s="53">
        <f>IF(TCertificaciones[[#This Row],[DA]]&lt;&gt;"",$F$7,0)+IF(TCertificaciones[[#This Row],[DD]]&lt;&gt;"",$F$8,0)</f>
        <v>0.5</v>
      </c>
    </row>
    <row r="20" spans="2:6">
      <c r="B20" s="6" t="s">
        <v>8</v>
      </c>
      <c r="C20" s="9"/>
      <c r="D20" s="21"/>
      <c r="E20" s="22" t="s">
        <v>130</v>
      </c>
      <c r="F20" s="53">
        <f>IF(TCertificaciones[[#This Row],[DA]]&lt;&gt;"",$F$7,0)+IF(TCertificaciones[[#This Row],[DD]]&lt;&gt;"",$F$8,0)</f>
        <v>0.25</v>
      </c>
    </row>
    <row r="21" spans="2:6">
      <c r="B21" s="6" t="s">
        <v>9</v>
      </c>
      <c r="C21" s="9"/>
      <c r="D21" s="21" t="s">
        <v>132</v>
      </c>
      <c r="E21" s="22"/>
      <c r="F21" s="53">
        <f>IF(TCertificaciones[[#This Row],[DA]]&lt;&gt;"",$F$7,0)+IF(TCertificaciones[[#This Row],[DD]]&lt;&gt;"",$F$8,0)</f>
        <v>0.25</v>
      </c>
    </row>
    <row r="22" spans="2:6">
      <c r="B22" s="6" t="s">
        <v>10</v>
      </c>
      <c r="C22" s="9"/>
      <c r="D22" s="21"/>
      <c r="E22" s="22"/>
      <c r="F22" s="53">
        <f>IF(TCertificaciones[[#This Row],[DA]]&lt;&gt;"",$F$7,0)+IF(TCertificaciones[[#This Row],[DD]]&lt;&gt;"",$F$8,0)</f>
        <v>0</v>
      </c>
    </row>
    <row r="23" spans="2:6">
      <c r="B23" s="5" t="s">
        <v>32</v>
      </c>
      <c r="C23" s="5"/>
      <c r="D23" s="5"/>
      <c r="F23" s="53">
        <f>SUBTOTAL(109,[Puntos])</f>
        <v>5.5</v>
      </c>
    </row>
    <row r="24" spans="2:6"/>
  </sheetData>
  <sheetProtection password="BE3A" sheet="1" objects="1" scenarios="1"/>
  <mergeCells count="1">
    <mergeCell ref="D4:F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25"/>
  <sheetViews>
    <sheetView showGridLines="0" topLeftCell="A4" workbookViewId="0">
      <selection activeCell="F6" sqref="F6"/>
    </sheetView>
  </sheetViews>
  <sheetFormatPr baseColWidth="10" defaultColWidth="0" defaultRowHeight="15" zeroHeight="1"/>
  <cols>
    <col min="1" max="1" width="3.7109375" customWidth="1"/>
    <col min="2" max="2" width="8.140625" bestFit="1" customWidth="1"/>
    <col min="3" max="3" width="35.140625" customWidth="1"/>
    <col min="4" max="4" width="26.42578125" customWidth="1"/>
    <col min="5" max="5" width="8.85546875" customWidth="1"/>
    <col min="6" max="6" width="17" customWidth="1"/>
    <col min="7" max="7" width="20.28515625" customWidth="1"/>
    <col min="8" max="8" width="11.7109375" customWidth="1"/>
    <col min="9" max="16384" width="11.42578125" hidden="1"/>
  </cols>
  <sheetData>
    <row r="1" spans="2:7" ht="18">
      <c r="B1" s="19" t="s">
        <v>100</v>
      </c>
    </row>
    <row r="2" spans="2:7">
      <c r="B2" t="s">
        <v>104</v>
      </c>
    </row>
    <row r="3" spans="2:7" ht="18">
      <c r="B3" s="19"/>
    </row>
    <row r="4" spans="2:7">
      <c r="B4" t="s">
        <v>98</v>
      </c>
      <c r="C4" s="8"/>
      <c r="D4" s="8"/>
      <c r="E4" s="8"/>
      <c r="F4" s="8"/>
    </row>
    <row r="5" spans="2:7" ht="45">
      <c r="B5" s="1" t="s">
        <v>56</v>
      </c>
      <c r="C5" s="1" t="s">
        <v>119</v>
      </c>
      <c r="D5" s="1" t="s">
        <v>120</v>
      </c>
      <c r="E5" s="1" t="s">
        <v>121</v>
      </c>
      <c r="F5" s="1" t="s">
        <v>136</v>
      </c>
    </row>
    <row r="6" spans="2:7">
      <c r="B6" s="3" t="s">
        <v>0</v>
      </c>
      <c r="C6" s="51">
        <v>0.6</v>
      </c>
      <c r="D6" s="51">
        <v>3</v>
      </c>
      <c r="E6" s="51">
        <v>10</v>
      </c>
      <c r="F6" s="51">
        <f>(TPeso_Expe[[#This Row],[Umbral Máximo
(años)]]-TPeso_Expe[[#This Row],[Umbral Mínimo
Exigido
(años)]])*C6</f>
        <v>4.2</v>
      </c>
    </row>
    <row r="7" spans="2:7">
      <c r="B7" s="3" t="s">
        <v>30</v>
      </c>
      <c r="C7" s="51">
        <v>0.55000000000000004</v>
      </c>
      <c r="D7" s="51">
        <v>3</v>
      </c>
      <c r="E7" s="51">
        <v>5</v>
      </c>
      <c r="F7" s="51">
        <f>(TPeso_Expe[[#This Row],[Umbral Máximo
(años)]]-TPeso_Expe[[#This Row],[Umbral Mínimo
Exigido
(años)]])*C7</f>
        <v>1.1000000000000001</v>
      </c>
    </row>
    <row r="8" spans="2:7">
      <c r="B8" s="3" t="s">
        <v>31</v>
      </c>
      <c r="C8" s="51">
        <v>0.4</v>
      </c>
      <c r="D8" s="51">
        <v>2</v>
      </c>
      <c r="E8" s="51">
        <v>5</v>
      </c>
      <c r="F8" s="51">
        <f>(TPeso_Expe[[#This Row],[Umbral Máximo
(años)]]-TPeso_Expe[[#This Row],[Umbral Mínimo
Exigido
(años)]])*C8</f>
        <v>1.2000000000000002</v>
      </c>
    </row>
    <row r="9" spans="2:7">
      <c r="B9" s="17"/>
      <c r="C9" s="54"/>
      <c r="D9" s="54"/>
      <c r="E9" s="54"/>
      <c r="F9" s="54">
        <f>SUBTOTAL(109,[Máxima Puntuación por perfil])</f>
        <v>6.5000000000000009</v>
      </c>
    </row>
    <row r="10" spans="2:7">
      <c r="B10" s="17"/>
      <c r="C10" s="17"/>
      <c r="D10" s="17"/>
      <c r="E10" s="17"/>
      <c r="F10" s="17"/>
      <c r="G10" s="17"/>
    </row>
    <row r="11" spans="2:7">
      <c r="B11" t="s">
        <v>99</v>
      </c>
    </row>
    <row r="12" spans="2:7">
      <c r="B12" s="2" t="s">
        <v>56</v>
      </c>
      <c r="C12" s="4" t="s">
        <v>62</v>
      </c>
      <c r="D12" s="2" t="s">
        <v>63</v>
      </c>
    </row>
    <row r="13" spans="2:7">
      <c r="B13" s="6" t="s">
        <v>0</v>
      </c>
      <c r="C13" s="23">
        <v>15</v>
      </c>
      <c r="D13" s="49">
        <f>IF(C13&gt;$D$6,(MIN($E$6,C13)-$D$6)*$C$6,0)</f>
        <v>4.2</v>
      </c>
    </row>
    <row r="14" spans="2:7">
      <c r="B14" s="6" t="s">
        <v>1</v>
      </c>
      <c r="C14" s="23">
        <v>7</v>
      </c>
      <c r="D14" s="49">
        <f>IF(C14&gt;$D$7,(MIN($E$7,C14)-$D$7)*$C$7,0)</f>
        <v>1.1000000000000001</v>
      </c>
    </row>
    <row r="15" spans="2:7">
      <c r="B15" s="6" t="s">
        <v>2</v>
      </c>
      <c r="C15" s="23">
        <v>4</v>
      </c>
      <c r="D15" s="49">
        <f>IF(C15&gt;$D$7,(MIN($E$7,C15)-$D$7)*$C$7,0)</f>
        <v>0.55000000000000004</v>
      </c>
    </row>
    <row r="16" spans="2:7">
      <c r="B16" s="6" t="s">
        <v>3</v>
      </c>
      <c r="C16" s="23">
        <v>2</v>
      </c>
      <c r="D16" s="49">
        <f>IF(C16&gt;$D$8,(MIN($E$8,C16)-$D$8)*$C$8,0)</f>
        <v>0</v>
      </c>
    </row>
    <row r="17" spans="2:4">
      <c r="B17" s="6" t="s">
        <v>4</v>
      </c>
      <c r="C17" s="23">
        <v>3</v>
      </c>
      <c r="D17" s="49">
        <f t="shared" ref="D17:D23" si="0">IF(C17&gt;$D$8,(MIN($E$8,C17)-$D$8)*$C$8,0)</f>
        <v>0.4</v>
      </c>
    </row>
    <row r="18" spans="2:4">
      <c r="B18" s="6" t="s">
        <v>5</v>
      </c>
      <c r="C18" s="23">
        <v>4</v>
      </c>
      <c r="D18" s="49">
        <f t="shared" si="0"/>
        <v>0.8</v>
      </c>
    </row>
    <row r="19" spans="2:4">
      <c r="B19" s="6" t="s">
        <v>6</v>
      </c>
      <c r="C19" s="23">
        <v>5</v>
      </c>
      <c r="D19" s="49">
        <f t="shared" si="0"/>
        <v>1.2000000000000002</v>
      </c>
    </row>
    <row r="20" spans="2:4">
      <c r="B20" s="6" t="s">
        <v>7</v>
      </c>
      <c r="C20" s="23">
        <v>6</v>
      </c>
      <c r="D20" s="49">
        <f t="shared" si="0"/>
        <v>1.2000000000000002</v>
      </c>
    </row>
    <row r="21" spans="2:4">
      <c r="B21" s="6" t="s">
        <v>8</v>
      </c>
      <c r="C21" s="23">
        <v>2</v>
      </c>
      <c r="D21" s="49">
        <f t="shared" si="0"/>
        <v>0</v>
      </c>
    </row>
    <row r="22" spans="2:4">
      <c r="B22" s="6" t="s">
        <v>9</v>
      </c>
      <c r="C22" s="23">
        <v>2</v>
      </c>
      <c r="D22" s="49">
        <f t="shared" si="0"/>
        <v>0</v>
      </c>
    </row>
    <row r="23" spans="2:4">
      <c r="B23" s="6" t="s">
        <v>10</v>
      </c>
      <c r="C23" s="23">
        <v>2</v>
      </c>
      <c r="D23" s="49">
        <f t="shared" si="0"/>
        <v>0</v>
      </c>
    </row>
    <row r="24" spans="2:4">
      <c r="B24" s="18" t="s">
        <v>32</v>
      </c>
      <c r="C24" s="2"/>
      <c r="D24" s="49">
        <f>SUBTOTAL(109,[Puntos])</f>
        <v>9.4499999999999993</v>
      </c>
    </row>
    <row r="25" spans="2:4"/>
  </sheetData>
  <sheetProtection password="BE3A" sheet="1" objects="1" scenario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30"/>
  <sheetViews>
    <sheetView showGridLines="0" workbookViewId="0">
      <selection activeCell="F3" sqref="F3"/>
    </sheetView>
  </sheetViews>
  <sheetFormatPr baseColWidth="10" defaultColWidth="0" defaultRowHeight="15" zeroHeight="1"/>
  <cols>
    <col min="1" max="1" width="3.85546875" customWidth="1"/>
    <col min="2" max="2" width="21.7109375" bestFit="1" customWidth="1"/>
    <col min="3" max="3" width="11.7109375" bestFit="1" customWidth="1"/>
    <col min="4" max="4" width="16" customWidth="1"/>
    <col min="5" max="5" width="15.5703125" customWidth="1"/>
    <col min="6" max="6" width="13.140625" customWidth="1"/>
    <col min="7" max="7" width="3.42578125" customWidth="1"/>
    <col min="8" max="8" width="14.28515625" hidden="1" customWidth="1"/>
    <col min="9" max="9" width="11.7109375" hidden="1" customWidth="1"/>
    <col min="10" max="16384" width="11.42578125" hidden="1"/>
  </cols>
  <sheetData>
    <row r="1" spans="1:6" ht="18">
      <c r="B1" s="19" t="s">
        <v>101</v>
      </c>
    </row>
    <row r="2" spans="1:6">
      <c r="B2" t="s">
        <v>104</v>
      </c>
    </row>
    <row r="3" spans="1:6"/>
    <row r="4" spans="1:6" ht="47.25" customHeight="1">
      <c r="B4" s="61" t="s">
        <v>105</v>
      </c>
      <c r="C4" s="61"/>
      <c r="D4" s="61"/>
    </row>
    <row r="5" spans="1:6" ht="29.25" customHeight="1">
      <c r="B5" s="62" t="s">
        <v>106</v>
      </c>
      <c r="C5" s="62"/>
      <c r="D5" s="62"/>
    </row>
    <row r="6" spans="1:6"/>
    <row r="7" spans="1:6">
      <c r="B7" t="s">
        <v>98</v>
      </c>
      <c r="D7" s="59" t="s">
        <v>118</v>
      </c>
      <c r="E7" s="60"/>
      <c r="F7" s="60"/>
    </row>
    <row r="8" spans="1:6">
      <c r="A8" s="3"/>
      <c r="B8" s="3" t="s">
        <v>76</v>
      </c>
      <c r="C8" s="3" t="s">
        <v>64</v>
      </c>
      <c r="D8" s="3" t="s">
        <v>0</v>
      </c>
      <c r="E8" s="3" t="s">
        <v>30</v>
      </c>
      <c r="F8" s="3" t="s">
        <v>31</v>
      </c>
    </row>
    <row r="9" spans="1:6">
      <c r="A9" s="11"/>
      <c r="B9" s="12" t="s">
        <v>80</v>
      </c>
      <c r="C9" s="11" t="s">
        <v>77</v>
      </c>
      <c r="D9" s="36" t="s">
        <v>52</v>
      </c>
      <c r="E9" s="36" t="s">
        <v>52</v>
      </c>
      <c r="F9" s="36" t="s">
        <v>52</v>
      </c>
    </row>
    <row r="10" spans="1:6">
      <c r="A10" s="11"/>
      <c r="B10" s="12" t="s">
        <v>81</v>
      </c>
      <c r="C10" s="11" t="s">
        <v>78</v>
      </c>
      <c r="D10" s="1">
        <v>0</v>
      </c>
      <c r="E10" s="3">
        <v>0</v>
      </c>
      <c r="F10" s="3">
        <v>0</v>
      </c>
    </row>
    <row r="11" spans="1:6">
      <c r="A11" s="11"/>
      <c r="B11" s="12" t="s">
        <v>81</v>
      </c>
      <c r="C11" s="11" t="s">
        <v>79</v>
      </c>
      <c r="D11" s="55">
        <v>0.3</v>
      </c>
      <c r="E11" s="51">
        <v>0.2</v>
      </c>
      <c r="F11" s="51">
        <v>0.1</v>
      </c>
    </row>
    <row r="12" spans="1:6">
      <c r="A12" s="11"/>
      <c r="B12" s="12" t="s">
        <v>82</v>
      </c>
      <c r="C12" s="11" t="s">
        <v>1</v>
      </c>
      <c r="D12" s="55">
        <v>0.5</v>
      </c>
      <c r="E12" s="51">
        <v>0.3</v>
      </c>
      <c r="F12" s="51">
        <v>0.2</v>
      </c>
    </row>
    <row r="13" spans="1:6">
      <c r="A13" s="11"/>
      <c r="B13" s="12" t="s">
        <v>82</v>
      </c>
      <c r="C13" s="11" t="s">
        <v>2</v>
      </c>
      <c r="D13" s="55">
        <v>0.6</v>
      </c>
      <c r="E13" s="51">
        <v>0.4</v>
      </c>
      <c r="F13" s="51">
        <v>0.2</v>
      </c>
    </row>
    <row r="14" spans="1:6"/>
    <row r="15" spans="1:6">
      <c r="B15" t="s">
        <v>99</v>
      </c>
    </row>
    <row r="16" spans="1:6">
      <c r="B16" s="3" t="s">
        <v>56</v>
      </c>
      <c r="C16" s="4" t="s">
        <v>107</v>
      </c>
      <c r="D16" s="3" t="s">
        <v>63</v>
      </c>
    </row>
    <row r="17" spans="2:4">
      <c r="B17" s="6" t="s">
        <v>0</v>
      </c>
      <c r="C17" s="20" t="s">
        <v>78</v>
      </c>
      <c r="D17" s="49">
        <f>VLOOKUP(TIdioma[[#This Row],[Nivel]],TPuntos_Idioma[[#All],[Código]:[JP]],2,FALSE)</f>
        <v>0</v>
      </c>
    </row>
    <row r="18" spans="2:4">
      <c r="B18" s="6" t="s">
        <v>1</v>
      </c>
      <c r="C18" s="20" t="s">
        <v>79</v>
      </c>
      <c r="D18" s="49">
        <f>VLOOKUP(TIdioma[[#This Row],[Nivel]],TPuntos_Idioma[[#All],[Código]:[C]],3,FALSE)</f>
        <v>0.2</v>
      </c>
    </row>
    <row r="19" spans="2:4">
      <c r="B19" s="6" t="s">
        <v>2</v>
      </c>
      <c r="C19" s="20" t="s">
        <v>1</v>
      </c>
      <c r="D19" s="49">
        <f>VLOOKUP(TIdioma[[#This Row],[Nivel]],TPuntos_Idioma[[#All],[Código]:[C]],3,FALSE)</f>
        <v>0.3</v>
      </c>
    </row>
    <row r="20" spans="2:4">
      <c r="B20" s="6" t="s">
        <v>3</v>
      </c>
      <c r="C20" s="20" t="s">
        <v>78</v>
      </c>
      <c r="D20" s="49">
        <f>VLOOKUP(TIdioma[[#This Row],[Nivel]],TPuntos_Idioma[[#All],[Código]:[T]],4,FALSE)</f>
        <v>0</v>
      </c>
    </row>
    <row r="21" spans="2:4">
      <c r="B21" s="6" t="s">
        <v>4</v>
      </c>
      <c r="C21" s="20" t="s">
        <v>79</v>
      </c>
      <c r="D21" s="49">
        <f>VLOOKUP(TIdioma[[#This Row],[Nivel]],TPuntos_Idioma[[#All],[Código]:[T]],4,FALSE)</f>
        <v>0.1</v>
      </c>
    </row>
    <row r="22" spans="2:4">
      <c r="B22" s="6" t="s">
        <v>5</v>
      </c>
      <c r="C22" s="20" t="s">
        <v>1</v>
      </c>
      <c r="D22" s="49">
        <f>VLOOKUP(TIdioma[[#This Row],[Nivel]],TPuntos_Idioma[[#All],[Código]:[T]],4,FALSE)</f>
        <v>0.2</v>
      </c>
    </row>
    <row r="23" spans="2:4">
      <c r="B23" s="6" t="s">
        <v>6</v>
      </c>
      <c r="C23" s="20" t="s">
        <v>2</v>
      </c>
      <c r="D23" s="49">
        <f>VLOOKUP(TIdioma[[#This Row],[Nivel]],TPuntos_Idioma[[#All],[Código]:[T]],4,FALSE)</f>
        <v>0.2</v>
      </c>
    </row>
    <row r="24" spans="2:4">
      <c r="B24" s="6" t="s">
        <v>7</v>
      </c>
      <c r="C24" s="20" t="s">
        <v>78</v>
      </c>
      <c r="D24" s="49">
        <f>VLOOKUP(TIdioma[[#This Row],[Nivel]],TPuntos_Idioma[[#All],[Código]:[T]],4,FALSE)</f>
        <v>0</v>
      </c>
    </row>
    <row r="25" spans="2:4">
      <c r="B25" s="6" t="s">
        <v>8</v>
      </c>
      <c r="C25" s="20" t="s">
        <v>79</v>
      </c>
      <c r="D25" s="49">
        <f>VLOOKUP(TIdioma[[#This Row],[Nivel]],TPuntos_Idioma[[#All],[Código]:[T]],4,FALSE)</f>
        <v>0.1</v>
      </c>
    </row>
    <row r="26" spans="2:4">
      <c r="B26" s="6" t="s">
        <v>9</v>
      </c>
      <c r="C26" s="20" t="s">
        <v>1</v>
      </c>
      <c r="D26" s="49">
        <f>VLOOKUP(TIdioma[[#This Row],[Nivel]],TPuntos_Idioma[[#All],[Código]:[T]],4,FALSE)</f>
        <v>0.2</v>
      </c>
    </row>
    <row r="27" spans="2:4">
      <c r="B27" s="6" t="s">
        <v>10</v>
      </c>
      <c r="C27" s="20" t="s">
        <v>2</v>
      </c>
      <c r="D27" s="49">
        <f>VLOOKUP(TIdioma[[#This Row],[Nivel]],TPuntos_Idioma[[#All],[Código]:[T]],4,FALSE)</f>
        <v>0.2</v>
      </c>
    </row>
    <row r="28" spans="2:4">
      <c r="B28" s="5" t="s">
        <v>32</v>
      </c>
      <c r="C28" s="2"/>
      <c r="D28" s="49">
        <f>IFERROR(VLOOKUP("NO",[Puntos],1,FALSE),SUBTOTAL(109,[Puntos]))</f>
        <v>1.5</v>
      </c>
    </row>
    <row r="29" spans="2:4"/>
    <row r="30" spans="2:4"/>
  </sheetData>
  <sheetProtection password="BE3A" sheet="1" objects="1" scenarios="1"/>
  <mergeCells count="3">
    <mergeCell ref="B4:D4"/>
    <mergeCell ref="B5:D5"/>
    <mergeCell ref="D7:F7"/>
  </mergeCells>
  <dataValidations disablePrompts="1" count="1">
    <dataValidation type="list" allowBlank="1" showInputMessage="1" showErrorMessage="1" sqref="C17:C27">
      <formula1>RIdioma</formula1>
    </dataValidation>
  </dataValidations>
  <hyperlinks>
    <hyperlink ref="B4" r:id="rId1" display="http://europass.cedefop.europa.eu/es/resources/european-language-levels-cefr/cef-ell-document.pdf"/>
    <hyperlink ref="B5" r:id="rId2"/>
  </hyperlinks>
  <pageMargins left="0.7" right="0.7" top="0.75" bottom="0.75" header="0.3" footer="0.3"/>
  <pageSetup paperSize="9" orientation="portrait" r:id="rId3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S54"/>
  <sheetViews>
    <sheetView showGridLines="0" zoomScale="130" zoomScaleNormal="130" workbookViewId="0">
      <selection activeCell="G30" sqref="G30"/>
    </sheetView>
  </sheetViews>
  <sheetFormatPr baseColWidth="10" defaultColWidth="0" defaultRowHeight="15" zeroHeight="1"/>
  <cols>
    <col min="1" max="1" width="3.85546875" customWidth="1"/>
    <col min="2" max="2" width="4.140625" customWidth="1"/>
    <col min="3" max="3" width="14.7109375" customWidth="1"/>
    <col min="4" max="4" width="6.5703125" customWidth="1"/>
    <col min="5" max="14" width="4.7109375" customWidth="1"/>
    <col min="15" max="15" width="3.7109375" customWidth="1"/>
    <col min="16" max="16" width="6.28515625" customWidth="1"/>
    <col min="17" max="17" width="9" customWidth="1"/>
    <col min="18" max="18" width="6" customWidth="1"/>
    <col min="19" max="19" width="4.140625" customWidth="1"/>
    <col min="20" max="16384" width="11.42578125" hidden="1"/>
  </cols>
  <sheetData>
    <row r="1" spans="2:7" ht="18">
      <c r="B1" s="19" t="s">
        <v>102</v>
      </c>
    </row>
    <row r="2" spans="2:7">
      <c r="B2" t="s">
        <v>104</v>
      </c>
    </row>
    <row r="3" spans="2:7" ht="6" customHeight="1">
      <c r="B3" s="19"/>
    </row>
    <row r="4" spans="2:7">
      <c r="B4" t="s">
        <v>98</v>
      </c>
    </row>
    <row r="5" spans="2:7">
      <c r="B5" s="39" t="s">
        <v>56</v>
      </c>
      <c r="C5" s="38" t="s">
        <v>76</v>
      </c>
      <c r="D5" s="43" t="s">
        <v>15</v>
      </c>
      <c r="E5" s="37"/>
    </row>
    <row r="6" spans="2:7">
      <c r="B6" s="39" t="s">
        <v>0</v>
      </c>
      <c r="C6" s="40" t="s">
        <v>90</v>
      </c>
      <c r="D6" s="56">
        <v>0.2</v>
      </c>
      <c r="E6" s="37"/>
    </row>
    <row r="7" spans="2:7">
      <c r="B7" s="39" t="s">
        <v>30</v>
      </c>
      <c r="C7" s="40" t="s">
        <v>91</v>
      </c>
      <c r="D7" s="56">
        <v>0.14000000000000001</v>
      </c>
      <c r="E7" s="37"/>
    </row>
    <row r="8" spans="2:7">
      <c r="B8" s="39" t="s">
        <v>31</v>
      </c>
      <c r="C8" s="40" t="s">
        <v>92</v>
      </c>
      <c r="D8" s="56">
        <v>0.09</v>
      </c>
      <c r="E8" s="37"/>
    </row>
    <row r="9" spans="2:7" ht="5.25" customHeight="1">
      <c r="C9" s="37"/>
      <c r="D9" s="37"/>
      <c r="E9" s="37"/>
      <c r="F9" s="37"/>
    </row>
    <row r="10" spans="2:7">
      <c r="B10" s="39" t="s">
        <v>93</v>
      </c>
      <c r="C10" s="39" t="s">
        <v>76</v>
      </c>
      <c r="D10" s="39" t="s">
        <v>15</v>
      </c>
      <c r="F10" s="37"/>
      <c r="G10" s="37"/>
    </row>
    <row r="11" spans="2:7">
      <c r="B11" s="39" t="s">
        <v>58</v>
      </c>
      <c r="C11" s="39" t="s">
        <v>114</v>
      </c>
      <c r="D11" s="57">
        <v>0</v>
      </c>
      <c r="F11" s="37"/>
      <c r="G11" s="37"/>
    </row>
    <row r="12" spans="2:7">
      <c r="B12" s="39" t="s">
        <v>53</v>
      </c>
      <c r="C12" s="39" t="s">
        <v>115</v>
      </c>
      <c r="D12" s="57">
        <v>3.3</v>
      </c>
      <c r="F12" s="37"/>
      <c r="G12" s="37"/>
    </row>
    <row r="13" spans="2:7">
      <c r="B13" s="39" t="s">
        <v>54</v>
      </c>
      <c r="C13" s="39" t="s">
        <v>116</v>
      </c>
      <c r="D13" s="57">
        <v>6.6</v>
      </c>
      <c r="F13" s="37"/>
      <c r="G13" s="37"/>
    </row>
    <row r="14" spans="2:7">
      <c r="B14" s="39" t="s">
        <v>55</v>
      </c>
      <c r="C14" s="39" t="s">
        <v>117</v>
      </c>
      <c r="D14" s="57">
        <v>10</v>
      </c>
      <c r="F14" s="37"/>
      <c r="G14" s="37"/>
    </row>
    <row r="15" spans="2:7" ht="6" customHeight="1"/>
    <row r="16" spans="2:7">
      <c r="B16" t="s">
        <v>99</v>
      </c>
    </row>
    <row r="17" spans="2:18">
      <c r="B17" s="25"/>
      <c r="C17" s="25"/>
      <c r="D17" s="63" t="s">
        <v>68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25"/>
      <c r="P17" s="25"/>
      <c r="Q17" s="25"/>
      <c r="R17" s="25"/>
    </row>
    <row r="18" spans="2:18" ht="24.75">
      <c r="B18" s="26" t="s">
        <v>51</v>
      </c>
      <c r="C18" s="26" t="s">
        <v>50</v>
      </c>
      <c r="D18" s="26" t="s">
        <v>0</v>
      </c>
      <c r="E18" s="26" t="s">
        <v>1</v>
      </c>
      <c r="F18" s="26" t="s">
        <v>2</v>
      </c>
      <c r="G18" s="26" t="s">
        <v>3</v>
      </c>
      <c r="H18" s="26" t="s">
        <v>4</v>
      </c>
      <c r="I18" s="26" t="s">
        <v>5</v>
      </c>
      <c r="J18" s="26" t="s">
        <v>6</v>
      </c>
      <c r="K18" s="26" t="s">
        <v>7</v>
      </c>
      <c r="L18" s="26" t="s">
        <v>8</v>
      </c>
      <c r="M18" s="26" t="s">
        <v>9</v>
      </c>
      <c r="N18" s="26" t="s">
        <v>10</v>
      </c>
      <c r="O18" s="26" t="s">
        <v>32</v>
      </c>
      <c r="P18" s="26" t="s">
        <v>49</v>
      </c>
      <c r="Q18" s="26" t="s">
        <v>47</v>
      </c>
      <c r="R18" s="26" t="s">
        <v>48</v>
      </c>
    </row>
    <row r="19" spans="2:18" ht="16.5">
      <c r="B19" s="27">
        <v>1</v>
      </c>
      <c r="C19" s="28" t="s">
        <v>39</v>
      </c>
      <c r="D19" s="29" t="s">
        <v>53</v>
      </c>
      <c r="E19" s="29" t="s">
        <v>53</v>
      </c>
      <c r="F19" s="29" t="s">
        <v>53</v>
      </c>
      <c r="G19" s="29" t="s">
        <v>53</v>
      </c>
      <c r="H19" s="29" t="s">
        <v>53</v>
      </c>
      <c r="I19" s="29" t="s">
        <v>53</v>
      </c>
      <c r="J19" s="29" t="s">
        <v>53</v>
      </c>
      <c r="K19" s="29" t="s">
        <v>53</v>
      </c>
      <c r="L19" s="29" t="s">
        <v>53</v>
      </c>
      <c r="M19" s="29" t="s">
        <v>53</v>
      </c>
      <c r="N19" s="29" t="s">
        <v>53</v>
      </c>
      <c r="O19" s="32">
        <f>VLOOKUP(D19,TValor[],3,FALSE)+VLOOKUP(E19,TValor[],3,FALSE)+VLOOKUP(F19,TValor[],3,FALSE)+VLOOKUP(G19,TValor[],3,FALSE)+VLOOKUP(H19,TValor[],3,FALSE)+VLOOKUP(I19,TValor[],3,FALSE)+VLOOKUP(J19,TValor[],3,FALSE)+VLOOKUP(K19,TValor[],3,FALSE)+VLOOKUP(L19,TValor[],3,FALSE)+VLOOKUP(M19,TValor[],3,FALSE)+VLOOKUP(N19,TValor[],3,FALSE)</f>
        <v>36.299999999999997</v>
      </c>
      <c r="P19" s="30">
        <f>VLOOKUP(D19,TValor[],3,FALSE)*VLOOKUP($D$18,TPerfil[],3,FALSE)+(VLOOKUP(E19,TValor[],3,FALSE)+VLOOKUP(F19,TValor[],3,FALSE))*VLOOKUP(LEFT($E$18,1),TPerfil[],3,FALSE)+(VLOOKUP(G19,TValor[],3,FALSE)+VLOOKUP(H19,TValor[],3,FALSE)+VLOOKUP(I19,TValor[],3,FALSE)+VLOOKUP(J19,TValor[],3,FALSE)+VLOOKUP(K19,TValor[],3,FALSE)+VLOOKUP(L19,TValor[],3,FALSE)+VLOOKUP(M19,TValor[],3,FALSE)+VLOOKUP(N19,TValor[],3,FALSE))*VLOOKUP(LEFT($G$18,1),TPerfil[],3,FALSE)</f>
        <v>3.96</v>
      </c>
      <c r="Q19" s="31">
        <v>7.0000000000000007E-2</v>
      </c>
      <c r="R19" s="32">
        <f>P19*Q19</f>
        <v>0.2772</v>
      </c>
    </row>
    <row r="20" spans="2:18">
      <c r="B20" s="27">
        <v>2</v>
      </c>
      <c r="C20" s="28" t="s">
        <v>42</v>
      </c>
      <c r="D20" s="29" t="s">
        <v>55</v>
      </c>
      <c r="E20" s="29" t="s">
        <v>54</v>
      </c>
      <c r="F20" s="29" t="s">
        <v>53</v>
      </c>
      <c r="G20" s="29" t="s">
        <v>55</v>
      </c>
      <c r="H20" s="29" t="s">
        <v>54</v>
      </c>
      <c r="I20" s="29" t="s">
        <v>53</v>
      </c>
      <c r="J20" s="29" t="s">
        <v>55</v>
      </c>
      <c r="K20" s="29" t="s">
        <v>54</v>
      </c>
      <c r="L20" s="29" t="s">
        <v>53</v>
      </c>
      <c r="M20" s="29" t="s">
        <v>55</v>
      </c>
      <c r="N20" s="29" t="s">
        <v>53</v>
      </c>
      <c r="O20" s="32">
        <f>VLOOKUP(D20,TValor[],3,FALSE)+VLOOKUP(E20,TValor[],3,FALSE)+VLOOKUP(F20,TValor[],3,FALSE)+VLOOKUP(G20,TValor[],3,FALSE)+VLOOKUP(H20,TValor[],3,FALSE)+VLOOKUP(I20,TValor[],3,FALSE)+VLOOKUP(J20,TValor[],3,FALSE)+VLOOKUP(K20,TValor[],3,FALSE)+VLOOKUP(L20,TValor[],3,FALSE)+VLOOKUP(M20,TValor[],3,FALSE)+VLOOKUP(N20,TValor[],3,FALSE)</f>
        <v>72.999999999999986</v>
      </c>
      <c r="P20" s="30">
        <f>VLOOKUP(D20,TValor[],3,FALSE)*VLOOKUP($D$18,TPerfil[],3,FALSE)+(VLOOKUP(E20,TValor[],3,FALSE)+VLOOKUP(F20,TValor[],3,FALSE))*VLOOKUP(LEFT($E$18,1),TPerfil[],3,FALSE)+(VLOOKUP(G20,TValor[],3,FALSE)+VLOOKUP(H20,TValor[],3,FALSE)+VLOOKUP(I20,TValor[],3,FALSE)+VLOOKUP(J20,TValor[],3,FALSE)+VLOOKUP(K20,TValor[],3,FALSE)+VLOOKUP(L20,TValor[],3,FALSE)+VLOOKUP(M20,TValor[],3,FALSE)+VLOOKUP(N20,TValor[],3,FALSE))*VLOOKUP(LEFT($G$18,1),TPerfil[],3,FALSE)</f>
        <v>8.1649999999999991</v>
      </c>
      <c r="Q20" s="31">
        <v>0.06</v>
      </c>
      <c r="R20" s="32">
        <f t="shared" ref="R20:R50" si="0">P20*Q20</f>
        <v>0.48989999999999995</v>
      </c>
    </row>
    <row r="21" spans="2:18" ht="16.5">
      <c r="B21" s="27">
        <v>3</v>
      </c>
      <c r="C21" s="28" t="s">
        <v>44</v>
      </c>
      <c r="D21" s="29" t="s">
        <v>55</v>
      </c>
      <c r="E21" s="29" t="s">
        <v>54</v>
      </c>
      <c r="F21" s="29" t="s">
        <v>53</v>
      </c>
      <c r="G21" s="29" t="s">
        <v>55</v>
      </c>
      <c r="H21" s="29" t="s">
        <v>54</v>
      </c>
      <c r="I21" s="29" t="s">
        <v>53</v>
      </c>
      <c r="J21" s="29" t="s">
        <v>55</v>
      </c>
      <c r="K21" s="29" t="s">
        <v>54</v>
      </c>
      <c r="L21" s="29" t="s">
        <v>53</v>
      </c>
      <c r="M21" s="29" t="s">
        <v>55</v>
      </c>
      <c r="N21" s="29" t="s">
        <v>53</v>
      </c>
      <c r="O21" s="32">
        <f>VLOOKUP(D21,TValor[],3,FALSE)+VLOOKUP(E21,TValor[],3,FALSE)+VLOOKUP(F21,TValor[],3,FALSE)+VLOOKUP(G21,TValor[],3,FALSE)+VLOOKUP(H21,TValor[],3,FALSE)+VLOOKUP(I21,TValor[],3,FALSE)+VLOOKUP(J21,TValor[],3,FALSE)+VLOOKUP(K21,TValor[],3,FALSE)+VLOOKUP(L21,TValor[],3,FALSE)+VLOOKUP(M21,TValor[],3,FALSE)+VLOOKUP(N21,TValor[],3,FALSE)</f>
        <v>72.999999999999986</v>
      </c>
      <c r="P21" s="30">
        <f>VLOOKUP(D21,TValor[],3,FALSE)*VLOOKUP($D$18,TPerfil[],3,FALSE)+(VLOOKUP(E21,TValor[],3,FALSE)+VLOOKUP(F21,TValor[],3,FALSE))*VLOOKUP(LEFT($E$18,1),TPerfil[],3,FALSE)+(VLOOKUP(G21,TValor[],3,FALSE)+VLOOKUP(H21,TValor[],3,FALSE)+VLOOKUP(I21,TValor[],3,FALSE)+VLOOKUP(J21,TValor[],3,FALSE)+VLOOKUP(K21,TValor[],3,FALSE)+VLOOKUP(L21,TValor[],3,FALSE)+VLOOKUP(M21,TValor[],3,FALSE)+VLOOKUP(N21,TValor[],3,FALSE))*VLOOKUP(LEFT($G$18,1),TPerfil[],3,FALSE)</f>
        <v>8.1649999999999991</v>
      </c>
      <c r="Q21" s="31">
        <v>0.06</v>
      </c>
      <c r="R21" s="32">
        <f t="shared" si="0"/>
        <v>0.48989999999999995</v>
      </c>
    </row>
    <row r="22" spans="2:18">
      <c r="B22" s="27">
        <v>4</v>
      </c>
      <c r="C22" s="28" t="s">
        <v>33</v>
      </c>
      <c r="D22" s="29" t="s">
        <v>55</v>
      </c>
      <c r="E22" s="29" t="s">
        <v>54</v>
      </c>
      <c r="F22" s="29" t="s">
        <v>53</v>
      </c>
      <c r="G22" s="29" t="s">
        <v>55</v>
      </c>
      <c r="H22" s="29" t="s">
        <v>54</v>
      </c>
      <c r="I22" s="29" t="s">
        <v>53</v>
      </c>
      <c r="J22" s="29" t="s">
        <v>55</v>
      </c>
      <c r="K22" s="29" t="s">
        <v>54</v>
      </c>
      <c r="L22" s="29" t="s">
        <v>53</v>
      </c>
      <c r="M22" s="29" t="s">
        <v>55</v>
      </c>
      <c r="N22" s="29" t="s">
        <v>53</v>
      </c>
      <c r="O22" s="32">
        <f>VLOOKUP(D22,TValor[],3,FALSE)+VLOOKUP(E22,TValor[],3,FALSE)+VLOOKUP(F22,TValor[],3,FALSE)+VLOOKUP(G22,TValor[],3,FALSE)+VLOOKUP(H22,TValor[],3,FALSE)+VLOOKUP(I22,TValor[],3,FALSE)+VLOOKUP(J22,TValor[],3,FALSE)+VLOOKUP(K22,TValor[],3,FALSE)+VLOOKUP(L22,TValor[],3,FALSE)+VLOOKUP(M22,TValor[],3,FALSE)+VLOOKUP(N22,TValor[],3,FALSE)</f>
        <v>72.999999999999986</v>
      </c>
      <c r="P22" s="30">
        <f>VLOOKUP(D22,TValor[],3,FALSE)*VLOOKUP($D$18,TPerfil[],3,FALSE)+(VLOOKUP(E22,TValor[],3,FALSE)+VLOOKUP(F22,TValor[],3,FALSE))*VLOOKUP(LEFT($E$18,1),TPerfil[],3,FALSE)+(VLOOKUP(G22,TValor[],3,FALSE)+VLOOKUP(H22,TValor[],3,FALSE)+VLOOKUP(I22,TValor[],3,FALSE)+VLOOKUP(J22,TValor[],3,FALSE)+VLOOKUP(K22,TValor[],3,FALSE)+VLOOKUP(L22,TValor[],3,FALSE)+VLOOKUP(M22,TValor[],3,FALSE)+VLOOKUP(N22,TValor[],3,FALSE))*VLOOKUP(LEFT($G$18,1),TPerfil[],3,FALSE)</f>
        <v>8.1649999999999991</v>
      </c>
      <c r="Q22" s="31">
        <v>0.03</v>
      </c>
      <c r="R22" s="32">
        <f t="shared" si="0"/>
        <v>0.24494999999999997</v>
      </c>
    </row>
    <row r="23" spans="2:18">
      <c r="B23" s="27">
        <v>5</v>
      </c>
      <c r="C23" s="28" t="s">
        <v>24</v>
      </c>
      <c r="D23" s="29" t="s">
        <v>55</v>
      </c>
      <c r="E23" s="29" t="s">
        <v>54</v>
      </c>
      <c r="F23" s="29" t="s">
        <v>53</v>
      </c>
      <c r="G23" s="29" t="s">
        <v>55</v>
      </c>
      <c r="H23" s="29" t="s">
        <v>54</v>
      </c>
      <c r="I23" s="29" t="s">
        <v>53</v>
      </c>
      <c r="J23" s="29" t="s">
        <v>55</v>
      </c>
      <c r="K23" s="29" t="s">
        <v>54</v>
      </c>
      <c r="L23" s="29" t="s">
        <v>53</v>
      </c>
      <c r="M23" s="29" t="s">
        <v>55</v>
      </c>
      <c r="N23" s="29" t="s">
        <v>53</v>
      </c>
      <c r="O23" s="32">
        <f>VLOOKUP(D23,TValor[],3,FALSE)+VLOOKUP(E23,TValor[],3,FALSE)+VLOOKUP(F23,TValor[],3,FALSE)+VLOOKUP(G23,TValor[],3,FALSE)+VLOOKUP(H23,TValor[],3,FALSE)+VLOOKUP(I23,TValor[],3,FALSE)+VLOOKUP(J23,TValor[],3,FALSE)+VLOOKUP(K23,TValor[],3,FALSE)+VLOOKUP(L23,TValor[],3,FALSE)+VLOOKUP(M23,TValor[],3,FALSE)+VLOOKUP(N23,TValor[],3,FALSE)</f>
        <v>72.999999999999986</v>
      </c>
      <c r="P23" s="30">
        <f>VLOOKUP(D23,TValor[],3,FALSE)*VLOOKUP($D$18,TPerfil[],3,FALSE)+(VLOOKUP(E23,TValor[],3,FALSE)+VLOOKUP(F23,TValor[],3,FALSE))*VLOOKUP(LEFT($E$18,1),TPerfil[],3,FALSE)+(VLOOKUP(G23,TValor[],3,FALSE)+VLOOKUP(H23,TValor[],3,FALSE)+VLOOKUP(I23,TValor[],3,FALSE)+VLOOKUP(J23,TValor[],3,FALSE)+VLOOKUP(K23,TValor[],3,FALSE)+VLOOKUP(L23,TValor[],3,FALSE)+VLOOKUP(M23,TValor[],3,FALSE)+VLOOKUP(N23,TValor[],3,FALSE))*VLOOKUP(LEFT($G$18,1),TPerfil[],3,FALSE)</f>
        <v>8.1649999999999991</v>
      </c>
      <c r="Q23" s="31">
        <v>0.04</v>
      </c>
      <c r="R23" s="32">
        <f t="shared" si="0"/>
        <v>0.32659999999999995</v>
      </c>
    </row>
    <row r="24" spans="2:18">
      <c r="B24" s="27">
        <v>6</v>
      </c>
      <c r="C24" s="28" t="s">
        <v>25</v>
      </c>
      <c r="D24" s="29" t="s">
        <v>55</v>
      </c>
      <c r="E24" s="29" t="s">
        <v>54</v>
      </c>
      <c r="F24" s="29" t="s">
        <v>53</v>
      </c>
      <c r="G24" s="29" t="s">
        <v>55</v>
      </c>
      <c r="H24" s="29" t="s">
        <v>54</v>
      </c>
      <c r="I24" s="29" t="s">
        <v>53</v>
      </c>
      <c r="J24" s="29" t="s">
        <v>55</v>
      </c>
      <c r="K24" s="29" t="s">
        <v>54</v>
      </c>
      <c r="L24" s="29" t="s">
        <v>53</v>
      </c>
      <c r="M24" s="29" t="s">
        <v>55</v>
      </c>
      <c r="N24" s="29" t="s">
        <v>53</v>
      </c>
      <c r="O24" s="32">
        <f>VLOOKUP(D24,TValor[],3,FALSE)+VLOOKUP(E24,TValor[],3,FALSE)+VLOOKUP(F24,TValor[],3,FALSE)+VLOOKUP(G24,TValor[],3,FALSE)+VLOOKUP(H24,TValor[],3,FALSE)+VLOOKUP(I24,TValor[],3,FALSE)+VLOOKUP(J24,TValor[],3,FALSE)+VLOOKUP(K24,TValor[],3,FALSE)+VLOOKUP(L24,TValor[],3,FALSE)+VLOOKUP(M24,TValor[],3,FALSE)+VLOOKUP(N24,TValor[],3,FALSE)</f>
        <v>72.999999999999986</v>
      </c>
      <c r="P24" s="30">
        <f>VLOOKUP(D24,TValor[],3,FALSE)*VLOOKUP($D$18,TPerfil[],3,FALSE)+(VLOOKUP(E24,TValor[],3,FALSE)+VLOOKUP(F24,TValor[],3,FALSE))*VLOOKUP(LEFT($E$18,1),TPerfil[],3,FALSE)+(VLOOKUP(G24,TValor[],3,FALSE)+VLOOKUP(H24,TValor[],3,FALSE)+VLOOKUP(I24,TValor[],3,FALSE)+VLOOKUP(J24,TValor[],3,FALSE)+VLOOKUP(K24,TValor[],3,FALSE)+VLOOKUP(L24,TValor[],3,FALSE)+VLOOKUP(M24,TValor[],3,FALSE)+VLOOKUP(N24,TValor[],3,FALSE))*VLOOKUP(LEFT($G$18,1),TPerfil[],3,FALSE)</f>
        <v>8.1649999999999991</v>
      </c>
      <c r="Q24" s="31">
        <v>0.03</v>
      </c>
      <c r="R24" s="32">
        <f t="shared" si="0"/>
        <v>0.24494999999999997</v>
      </c>
    </row>
    <row r="25" spans="2:18" ht="16.5">
      <c r="B25" s="27">
        <v>7</v>
      </c>
      <c r="C25" s="28" t="s">
        <v>45</v>
      </c>
      <c r="D25" s="29" t="s">
        <v>55</v>
      </c>
      <c r="E25" s="29" t="s">
        <v>54</v>
      </c>
      <c r="F25" s="29" t="s">
        <v>53</v>
      </c>
      <c r="G25" s="29" t="s">
        <v>55</v>
      </c>
      <c r="H25" s="29" t="s">
        <v>54</v>
      </c>
      <c r="I25" s="29" t="s">
        <v>53</v>
      </c>
      <c r="J25" s="29" t="s">
        <v>55</v>
      </c>
      <c r="K25" s="29" t="s">
        <v>54</v>
      </c>
      <c r="L25" s="29" t="s">
        <v>53</v>
      </c>
      <c r="M25" s="29" t="s">
        <v>55</v>
      </c>
      <c r="N25" s="29" t="s">
        <v>53</v>
      </c>
      <c r="O25" s="32">
        <f>VLOOKUP(D25,TValor[],3,FALSE)+VLOOKUP(E25,TValor[],3,FALSE)+VLOOKUP(F25,TValor[],3,FALSE)+VLOOKUP(G25,TValor[],3,FALSE)+VLOOKUP(H25,TValor[],3,FALSE)+VLOOKUP(I25,TValor[],3,FALSE)+VLOOKUP(J25,TValor[],3,FALSE)+VLOOKUP(K25,TValor[],3,FALSE)+VLOOKUP(L25,TValor[],3,FALSE)+VLOOKUP(M25,TValor[],3,FALSE)+VLOOKUP(N25,TValor[],3,FALSE)</f>
        <v>72.999999999999986</v>
      </c>
      <c r="P25" s="30">
        <f>VLOOKUP(D25,TValor[],3,FALSE)*VLOOKUP($D$18,TPerfil[],3,FALSE)+(VLOOKUP(E25,TValor[],3,FALSE)+VLOOKUP(F25,TValor[],3,FALSE))*VLOOKUP(LEFT($E$18,1),TPerfil[],3,FALSE)+(VLOOKUP(G25,TValor[],3,FALSE)+VLOOKUP(H25,TValor[],3,FALSE)+VLOOKUP(I25,TValor[],3,FALSE)+VLOOKUP(J25,TValor[],3,FALSE)+VLOOKUP(K25,TValor[],3,FALSE)+VLOOKUP(L25,TValor[],3,FALSE)+VLOOKUP(M25,TValor[],3,FALSE)+VLOOKUP(N25,TValor[],3,FALSE))*VLOOKUP(LEFT($G$18,1),TPerfil[],3,FALSE)</f>
        <v>8.1649999999999991</v>
      </c>
      <c r="Q25" s="31">
        <v>0.01</v>
      </c>
      <c r="R25" s="32">
        <f t="shared" si="0"/>
        <v>8.1649999999999986E-2</v>
      </c>
    </row>
    <row r="26" spans="2:18" ht="24.75">
      <c r="B26" s="27">
        <v>8</v>
      </c>
      <c r="C26" s="28" t="s">
        <v>41</v>
      </c>
      <c r="D26" s="29" t="s">
        <v>55</v>
      </c>
      <c r="E26" s="29" t="s">
        <v>54</v>
      </c>
      <c r="F26" s="29" t="s">
        <v>53</v>
      </c>
      <c r="G26" s="29" t="s">
        <v>55</v>
      </c>
      <c r="H26" s="29" t="s">
        <v>54</v>
      </c>
      <c r="I26" s="29" t="s">
        <v>53</v>
      </c>
      <c r="J26" s="29" t="s">
        <v>55</v>
      </c>
      <c r="K26" s="29" t="s">
        <v>54</v>
      </c>
      <c r="L26" s="29" t="s">
        <v>53</v>
      </c>
      <c r="M26" s="29" t="s">
        <v>55</v>
      </c>
      <c r="N26" s="29" t="s">
        <v>53</v>
      </c>
      <c r="O26" s="32">
        <f>VLOOKUP(D26,TValor[],3,FALSE)+VLOOKUP(E26,TValor[],3,FALSE)+VLOOKUP(F26,TValor[],3,FALSE)+VLOOKUP(G26,TValor[],3,FALSE)+VLOOKUP(H26,TValor[],3,FALSE)+VLOOKUP(I26,TValor[],3,FALSE)+VLOOKUP(J26,TValor[],3,FALSE)+VLOOKUP(K26,TValor[],3,FALSE)+VLOOKUP(L26,TValor[],3,FALSE)+VLOOKUP(M26,TValor[],3,FALSE)+VLOOKUP(N26,TValor[],3,FALSE)</f>
        <v>72.999999999999986</v>
      </c>
      <c r="P26" s="30">
        <f>VLOOKUP(D26,TValor[],3,FALSE)*VLOOKUP($D$18,TPerfil[],3,FALSE)+(VLOOKUP(E26,TValor[],3,FALSE)+VLOOKUP(F26,TValor[],3,FALSE))*VLOOKUP(LEFT($E$18,1),TPerfil[],3,FALSE)+(VLOOKUP(G26,TValor[],3,FALSE)+VLOOKUP(H26,TValor[],3,FALSE)+VLOOKUP(I26,TValor[],3,FALSE)+VLOOKUP(J26,TValor[],3,FALSE)+VLOOKUP(K26,TValor[],3,FALSE)+VLOOKUP(L26,TValor[],3,FALSE)+VLOOKUP(M26,TValor[],3,FALSE)+VLOOKUP(N26,TValor[],3,FALSE))*VLOOKUP(LEFT($G$18,1),TPerfil[],3,FALSE)</f>
        <v>8.1649999999999991</v>
      </c>
      <c r="Q26" s="31">
        <v>0.04</v>
      </c>
      <c r="R26" s="32">
        <f t="shared" si="0"/>
        <v>0.32659999999999995</v>
      </c>
    </row>
    <row r="27" spans="2:18" ht="16.5">
      <c r="B27" s="27">
        <v>9</v>
      </c>
      <c r="C27" s="28" t="s">
        <v>40</v>
      </c>
      <c r="D27" s="29" t="s">
        <v>55</v>
      </c>
      <c r="E27" s="29" t="s">
        <v>54</v>
      </c>
      <c r="F27" s="29" t="s">
        <v>53</v>
      </c>
      <c r="G27" s="29" t="s">
        <v>55</v>
      </c>
      <c r="H27" s="29" t="s">
        <v>54</v>
      </c>
      <c r="I27" s="29" t="s">
        <v>53</v>
      </c>
      <c r="J27" s="29" t="s">
        <v>55</v>
      </c>
      <c r="K27" s="29" t="s">
        <v>54</v>
      </c>
      <c r="L27" s="29" t="s">
        <v>53</v>
      </c>
      <c r="M27" s="29" t="s">
        <v>55</v>
      </c>
      <c r="N27" s="29" t="s">
        <v>53</v>
      </c>
      <c r="O27" s="32">
        <f>VLOOKUP(D27,TValor[],3,FALSE)+VLOOKUP(E27,TValor[],3,FALSE)+VLOOKUP(F27,TValor[],3,FALSE)+VLOOKUP(G27,TValor[],3,FALSE)+VLOOKUP(H27,TValor[],3,FALSE)+VLOOKUP(I27,TValor[],3,FALSE)+VLOOKUP(J27,TValor[],3,FALSE)+VLOOKUP(K27,TValor[],3,FALSE)+VLOOKUP(L27,TValor[],3,FALSE)+VLOOKUP(M27,TValor[],3,FALSE)+VLOOKUP(N27,TValor[],3,FALSE)</f>
        <v>72.999999999999986</v>
      </c>
      <c r="P27" s="30">
        <f>VLOOKUP(D27,TValor[],3,FALSE)*VLOOKUP($D$18,TPerfil[],3,FALSE)+(VLOOKUP(E27,TValor[],3,FALSE)+VLOOKUP(F27,TValor[],3,FALSE))*VLOOKUP(LEFT($E$18,1),TPerfil[],3,FALSE)+(VLOOKUP(G27,TValor[],3,FALSE)+VLOOKUP(H27,TValor[],3,FALSE)+VLOOKUP(I27,TValor[],3,FALSE)+VLOOKUP(J27,TValor[],3,FALSE)+VLOOKUP(K27,TValor[],3,FALSE)+VLOOKUP(L27,TValor[],3,FALSE)+VLOOKUP(M27,TValor[],3,FALSE)+VLOOKUP(N27,TValor[],3,FALSE))*VLOOKUP(LEFT($G$18,1),TPerfil[],3,FALSE)</f>
        <v>8.1649999999999991</v>
      </c>
      <c r="Q27" s="31">
        <v>0.03</v>
      </c>
      <c r="R27" s="32">
        <f t="shared" si="0"/>
        <v>0.24494999999999997</v>
      </c>
    </row>
    <row r="28" spans="2:18" ht="16.5">
      <c r="B28" s="27">
        <v>10</v>
      </c>
      <c r="C28" s="28" t="s">
        <v>34</v>
      </c>
      <c r="D28" s="29" t="s">
        <v>55</v>
      </c>
      <c r="E28" s="29" t="s">
        <v>54</v>
      </c>
      <c r="F28" s="29" t="s">
        <v>53</v>
      </c>
      <c r="G28" s="29" t="s">
        <v>55</v>
      </c>
      <c r="H28" s="29" t="s">
        <v>54</v>
      </c>
      <c r="I28" s="29" t="s">
        <v>53</v>
      </c>
      <c r="J28" s="29" t="s">
        <v>55</v>
      </c>
      <c r="K28" s="29" t="s">
        <v>54</v>
      </c>
      <c r="L28" s="29" t="s">
        <v>53</v>
      </c>
      <c r="M28" s="29" t="s">
        <v>55</v>
      </c>
      <c r="N28" s="29" t="s">
        <v>53</v>
      </c>
      <c r="O28" s="32">
        <f>VLOOKUP(D28,TValor[],3,FALSE)+VLOOKUP(E28,TValor[],3,FALSE)+VLOOKUP(F28,TValor[],3,FALSE)+VLOOKUP(G28,TValor[],3,FALSE)+VLOOKUP(H28,TValor[],3,FALSE)+VLOOKUP(I28,TValor[],3,FALSE)+VLOOKUP(J28,TValor[],3,FALSE)+VLOOKUP(K28,TValor[],3,FALSE)+VLOOKUP(L28,TValor[],3,FALSE)+VLOOKUP(M28,TValor[],3,FALSE)+VLOOKUP(N28,TValor[],3,FALSE)</f>
        <v>72.999999999999986</v>
      </c>
      <c r="P28" s="30">
        <f>VLOOKUP(D28,TValor[],3,FALSE)*VLOOKUP($D$18,TPerfil[],3,FALSE)+(VLOOKUP(E28,TValor[],3,FALSE)+VLOOKUP(F28,TValor[],3,FALSE))*VLOOKUP(LEFT($E$18,1),TPerfil[],3,FALSE)+(VLOOKUP(G28,TValor[],3,FALSE)+VLOOKUP(H28,TValor[],3,FALSE)+VLOOKUP(I28,TValor[],3,FALSE)+VLOOKUP(J28,TValor[],3,FALSE)+VLOOKUP(K28,TValor[],3,FALSE)+VLOOKUP(L28,TValor[],3,FALSE)+VLOOKUP(M28,TValor[],3,FALSE)+VLOOKUP(N28,TValor[],3,FALSE))*VLOOKUP(LEFT($G$18,1),TPerfil[],3,FALSE)</f>
        <v>8.1649999999999991</v>
      </c>
      <c r="Q28" s="31">
        <v>0.05</v>
      </c>
      <c r="R28" s="32">
        <f t="shared" si="0"/>
        <v>0.40825</v>
      </c>
    </row>
    <row r="29" spans="2:18">
      <c r="B29" s="27">
        <v>11</v>
      </c>
      <c r="C29" s="28" t="s">
        <v>35</v>
      </c>
      <c r="D29" s="29" t="s">
        <v>55</v>
      </c>
      <c r="E29" s="29" t="s">
        <v>54</v>
      </c>
      <c r="F29" s="29" t="s">
        <v>53</v>
      </c>
      <c r="G29" s="29" t="s">
        <v>55</v>
      </c>
      <c r="H29" s="29" t="s">
        <v>54</v>
      </c>
      <c r="I29" s="29" t="s">
        <v>53</v>
      </c>
      <c r="J29" s="29" t="s">
        <v>55</v>
      </c>
      <c r="K29" s="29" t="s">
        <v>54</v>
      </c>
      <c r="L29" s="29" t="s">
        <v>53</v>
      </c>
      <c r="M29" s="29" t="s">
        <v>55</v>
      </c>
      <c r="N29" s="29" t="s">
        <v>53</v>
      </c>
      <c r="O29" s="32">
        <f>VLOOKUP(D29,TValor[],3,FALSE)+VLOOKUP(E29,TValor[],3,FALSE)+VLOOKUP(F29,TValor[],3,FALSE)+VLOOKUP(G29,TValor[],3,FALSE)+VLOOKUP(H29,TValor[],3,FALSE)+VLOOKUP(I29,TValor[],3,FALSE)+VLOOKUP(J29,TValor[],3,FALSE)+VLOOKUP(K29,TValor[],3,FALSE)+VLOOKUP(L29,TValor[],3,FALSE)+VLOOKUP(M29,TValor[],3,FALSE)+VLOOKUP(N29,TValor[],3,FALSE)</f>
        <v>72.999999999999986</v>
      </c>
      <c r="P29" s="30">
        <f>VLOOKUP(D29,TValor[],3,FALSE)*VLOOKUP($D$18,TPerfil[],3,FALSE)+(VLOOKUP(E29,TValor[],3,FALSE)+VLOOKUP(F29,TValor[],3,FALSE))*VLOOKUP(LEFT($E$18,1),TPerfil[],3,FALSE)+(VLOOKUP(G29,TValor[],3,FALSE)+VLOOKUP(H29,TValor[],3,FALSE)+VLOOKUP(I29,TValor[],3,FALSE)+VLOOKUP(J29,TValor[],3,FALSE)+VLOOKUP(K29,TValor[],3,FALSE)+VLOOKUP(L29,TValor[],3,FALSE)+VLOOKUP(M29,TValor[],3,FALSE)+VLOOKUP(N29,TValor[],3,FALSE))*VLOOKUP(LEFT($G$18,1),TPerfil[],3,FALSE)</f>
        <v>8.1649999999999991</v>
      </c>
      <c r="Q29" s="31">
        <v>0.03</v>
      </c>
      <c r="R29" s="32">
        <f t="shared" si="0"/>
        <v>0.24494999999999997</v>
      </c>
    </row>
    <row r="30" spans="2:18">
      <c r="B30" s="27">
        <v>12</v>
      </c>
      <c r="C30" s="28" t="s">
        <v>12</v>
      </c>
      <c r="D30" s="29" t="s">
        <v>55</v>
      </c>
      <c r="E30" s="29" t="s">
        <v>54</v>
      </c>
      <c r="F30" s="29" t="s">
        <v>53</v>
      </c>
      <c r="G30" s="29" t="s">
        <v>55</v>
      </c>
      <c r="H30" s="29" t="s">
        <v>54</v>
      </c>
      <c r="I30" s="29" t="s">
        <v>53</v>
      </c>
      <c r="J30" s="29" t="s">
        <v>55</v>
      </c>
      <c r="K30" s="29" t="s">
        <v>54</v>
      </c>
      <c r="L30" s="29" t="s">
        <v>53</v>
      </c>
      <c r="M30" s="29" t="s">
        <v>55</v>
      </c>
      <c r="N30" s="29" t="s">
        <v>53</v>
      </c>
      <c r="O30" s="32">
        <f>VLOOKUP(D30,TValor[],3,FALSE)+VLOOKUP(E30,TValor[],3,FALSE)+VLOOKUP(F30,TValor[],3,FALSE)+VLOOKUP(G30,TValor[],3,FALSE)+VLOOKUP(H30,TValor[],3,FALSE)+VLOOKUP(I30,TValor[],3,FALSE)+VLOOKUP(J30,TValor[],3,FALSE)+VLOOKUP(K30,TValor[],3,FALSE)+VLOOKUP(L30,TValor[],3,FALSE)+VLOOKUP(M30,TValor[],3,FALSE)+VLOOKUP(N30,TValor[],3,FALSE)</f>
        <v>72.999999999999986</v>
      </c>
      <c r="P30" s="30">
        <f>VLOOKUP(D30,TValor[],3,FALSE)*VLOOKUP($D$18,TPerfil[],3,FALSE)+(VLOOKUP(E30,TValor[],3,FALSE)+VLOOKUP(F30,TValor[],3,FALSE))*VLOOKUP(LEFT($E$18,1),TPerfil[],3,FALSE)+(VLOOKUP(G30,TValor[],3,FALSE)+VLOOKUP(H30,TValor[],3,FALSE)+VLOOKUP(I30,TValor[],3,FALSE)+VLOOKUP(J30,TValor[],3,FALSE)+VLOOKUP(K30,TValor[],3,FALSE)+VLOOKUP(L30,TValor[],3,FALSE)+VLOOKUP(M30,TValor[],3,FALSE)+VLOOKUP(N30,TValor[],3,FALSE))*VLOOKUP(LEFT($G$18,1),TPerfil[],3,FALSE)</f>
        <v>8.1649999999999991</v>
      </c>
      <c r="Q30" s="31">
        <v>0.04</v>
      </c>
      <c r="R30" s="32">
        <f t="shared" si="0"/>
        <v>0.32659999999999995</v>
      </c>
    </row>
    <row r="31" spans="2:18">
      <c r="B31" s="27">
        <v>13</v>
      </c>
      <c r="C31" s="28" t="s">
        <v>13</v>
      </c>
      <c r="D31" s="29" t="s">
        <v>55</v>
      </c>
      <c r="E31" s="29" t="s">
        <v>54</v>
      </c>
      <c r="F31" s="29" t="s">
        <v>53</v>
      </c>
      <c r="G31" s="29" t="s">
        <v>55</v>
      </c>
      <c r="H31" s="29" t="s">
        <v>54</v>
      </c>
      <c r="I31" s="29" t="s">
        <v>53</v>
      </c>
      <c r="J31" s="29" t="s">
        <v>55</v>
      </c>
      <c r="K31" s="29" t="s">
        <v>54</v>
      </c>
      <c r="L31" s="29" t="s">
        <v>53</v>
      </c>
      <c r="M31" s="29" t="s">
        <v>55</v>
      </c>
      <c r="N31" s="29" t="s">
        <v>53</v>
      </c>
      <c r="O31" s="32">
        <f>VLOOKUP(D31,TValor[],3,FALSE)+VLOOKUP(E31,TValor[],3,FALSE)+VLOOKUP(F31,TValor[],3,FALSE)+VLOOKUP(G31,TValor[],3,FALSE)+VLOOKUP(H31,TValor[],3,FALSE)+VLOOKUP(I31,TValor[],3,FALSE)+VLOOKUP(J31,TValor[],3,FALSE)+VLOOKUP(K31,TValor[],3,FALSE)+VLOOKUP(L31,TValor[],3,FALSE)+VLOOKUP(M31,TValor[],3,FALSE)+VLOOKUP(N31,TValor[],3,FALSE)</f>
        <v>72.999999999999986</v>
      </c>
      <c r="P31" s="30">
        <f>VLOOKUP(D31,TValor[],3,FALSE)*VLOOKUP($D$18,TPerfil[],3,FALSE)+(VLOOKUP(E31,TValor[],3,FALSE)+VLOOKUP(F31,TValor[],3,FALSE))*VLOOKUP(LEFT($E$18,1),TPerfil[],3,FALSE)+(VLOOKUP(G31,TValor[],3,FALSE)+VLOOKUP(H31,TValor[],3,FALSE)+VLOOKUP(I31,TValor[],3,FALSE)+VLOOKUP(J31,TValor[],3,FALSE)+VLOOKUP(K31,TValor[],3,FALSE)+VLOOKUP(L31,TValor[],3,FALSE)+VLOOKUP(M31,TValor[],3,FALSE)+VLOOKUP(N31,TValor[],3,FALSE))*VLOOKUP(LEFT($G$18,1),TPerfil[],3,FALSE)</f>
        <v>8.1649999999999991</v>
      </c>
      <c r="Q31" s="31">
        <v>0.04</v>
      </c>
      <c r="R31" s="32">
        <f t="shared" si="0"/>
        <v>0.32659999999999995</v>
      </c>
    </row>
    <row r="32" spans="2:18">
      <c r="B32" s="27">
        <v>14</v>
      </c>
      <c r="C32" s="28" t="s">
        <v>14</v>
      </c>
      <c r="D32" s="29" t="s">
        <v>55</v>
      </c>
      <c r="E32" s="29" t="s">
        <v>54</v>
      </c>
      <c r="F32" s="29" t="s">
        <v>53</v>
      </c>
      <c r="G32" s="29" t="s">
        <v>55</v>
      </c>
      <c r="H32" s="29" t="s">
        <v>54</v>
      </c>
      <c r="I32" s="29" t="s">
        <v>53</v>
      </c>
      <c r="J32" s="29" t="s">
        <v>55</v>
      </c>
      <c r="K32" s="29" t="s">
        <v>54</v>
      </c>
      <c r="L32" s="29" t="s">
        <v>53</v>
      </c>
      <c r="M32" s="29" t="s">
        <v>55</v>
      </c>
      <c r="N32" s="29" t="s">
        <v>53</v>
      </c>
      <c r="O32" s="32">
        <f>VLOOKUP(D32,TValor[],3,FALSE)+VLOOKUP(E32,TValor[],3,FALSE)+VLOOKUP(F32,TValor[],3,FALSE)+VLOOKUP(G32,TValor[],3,FALSE)+VLOOKUP(H32,TValor[],3,FALSE)+VLOOKUP(I32,TValor[],3,FALSE)+VLOOKUP(J32,TValor[],3,FALSE)+VLOOKUP(K32,TValor[],3,FALSE)+VLOOKUP(L32,TValor[],3,FALSE)+VLOOKUP(M32,TValor[],3,FALSE)+VLOOKUP(N32,TValor[],3,FALSE)</f>
        <v>72.999999999999986</v>
      </c>
      <c r="P32" s="30">
        <f>VLOOKUP(D32,TValor[],3,FALSE)*VLOOKUP($D$18,TPerfil[],3,FALSE)+(VLOOKUP(E32,TValor[],3,FALSE)+VLOOKUP(F32,TValor[],3,FALSE))*VLOOKUP(LEFT($E$18,1),TPerfil[],3,FALSE)+(VLOOKUP(G32,TValor[],3,FALSE)+VLOOKUP(H32,TValor[],3,FALSE)+VLOOKUP(I32,TValor[],3,FALSE)+VLOOKUP(J32,TValor[],3,FALSE)+VLOOKUP(K32,TValor[],3,FALSE)+VLOOKUP(L32,TValor[],3,FALSE)+VLOOKUP(M32,TValor[],3,FALSE)+VLOOKUP(N32,TValor[],3,FALSE))*VLOOKUP(LEFT($G$18,1),TPerfil[],3,FALSE)</f>
        <v>8.1649999999999991</v>
      </c>
      <c r="Q32" s="31">
        <v>0.02</v>
      </c>
      <c r="R32" s="32">
        <f t="shared" si="0"/>
        <v>0.16329999999999997</v>
      </c>
    </row>
    <row r="33" spans="2:18">
      <c r="B33" s="27">
        <v>15</v>
      </c>
      <c r="C33" s="28" t="s">
        <v>36</v>
      </c>
      <c r="D33" s="29" t="s">
        <v>55</v>
      </c>
      <c r="E33" s="29" t="s">
        <v>54</v>
      </c>
      <c r="F33" s="29" t="s">
        <v>53</v>
      </c>
      <c r="G33" s="29" t="s">
        <v>55</v>
      </c>
      <c r="H33" s="29" t="s">
        <v>54</v>
      </c>
      <c r="I33" s="29" t="s">
        <v>53</v>
      </c>
      <c r="J33" s="29" t="s">
        <v>55</v>
      </c>
      <c r="K33" s="29" t="s">
        <v>54</v>
      </c>
      <c r="L33" s="29" t="s">
        <v>53</v>
      </c>
      <c r="M33" s="29" t="s">
        <v>55</v>
      </c>
      <c r="N33" s="29" t="s">
        <v>53</v>
      </c>
      <c r="O33" s="32">
        <f>VLOOKUP(D33,TValor[],3,FALSE)+VLOOKUP(E33,TValor[],3,FALSE)+VLOOKUP(F33,TValor[],3,FALSE)+VLOOKUP(G33,TValor[],3,FALSE)+VLOOKUP(H33,TValor[],3,FALSE)+VLOOKUP(I33,TValor[],3,FALSE)+VLOOKUP(J33,TValor[],3,FALSE)+VLOOKUP(K33,TValor[],3,FALSE)+VLOOKUP(L33,TValor[],3,FALSE)+VLOOKUP(M33,TValor[],3,FALSE)+VLOOKUP(N33,TValor[],3,FALSE)</f>
        <v>72.999999999999986</v>
      </c>
      <c r="P33" s="30">
        <f>VLOOKUP(D33,TValor[],3,FALSE)*VLOOKUP($D$18,TPerfil[],3,FALSE)+(VLOOKUP(E33,TValor[],3,FALSE)+VLOOKUP(F33,TValor[],3,FALSE))*VLOOKUP(LEFT($E$18,1),TPerfil[],3,FALSE)+(VLOOKUP(G33,TValor[],3,FALSE)+VLOOKUP(H33,TValor[],3,FALSE)+VLOOKUP(I33,TValor[],3,FALSE)+VLOOKUP(J33,TValor[],3,FALSE)+VLOOKUP(K33,TValor[],3,FALSE)+VLOOKUP(L33,TValor[],3,FALSE)+VLOOKUP(M33,TValor[],3,FALSE)+VLOOKUP(N33,TValor[],3,FALSE))*VLOOKUP(LEFT($G$18,1),TPerfil[],3,FALSE)</f>
        <v>8.1649999999999991</v>
      </c>
      <c r="Q33" s="31">
        <v>0.01</v>
      </c>
      <c r="R33" s="32">
        <f t="shared" si="0"/>
        <v>8.1649999999999986E-2</v>
      </c>
    </row>
    <row r="34" spans="2:18">
      <c r="B34" s="27">
        <v>16</v>
      </c>
      <c r="C34" s="28" t="s">
        <v>16</v>
      </c>
      <c r="D34" s="29" t="s">
        <v>55</v>
      </c>
      <c r="E34" s="29" t="s">
        <v>54</v>
      </c>
      <c r="F34" s="29" t="s">
        <v>53</v>
      </c>
      <c r="G34" s="29" t="s">
        <v>55</v>
      </c>
      <c r="H34" s="29" t="s">
        <v>54</v>
      </c>
      <c r="I34" s="29" t="s">
        <v>53</v>
      </c>
      <c r="J34" s="29" t="s">
        <v>55</v>
      </c>
      <c r="K34" s="29" t="s">
        <v>54</v>
      </c>
      <c r="L34" s="29" t="s">
        <v>53</v>
      </c>
      <c r="M34" s="29" t="s">
        <v>55</v>
      </c>
      <c r="N34" s="29" t="s">
        <v>53</v>
      </c>
      <c r="O34" s="32">
        <f>VLOOKUP(D34,TValor[],3,FALSE)+VLOOKUP(E34,TValor[],3,FALSE)+VLOOKUP(F34,TValor[],3,FALSE)+VLOOKUP(G34,TValor[],3,FALSE)+VLOOKUP(H34,TValor[],3,FALSE)+VLOOKUP(I34,TValor[],3,FALSE)+VLOOKUP(J34,TValor[],3,FALSE)+VLOOKUP(K34,TValor[],3,FALSE)+VLOOKUP(L34,TValor[],3,FALSE)+VLOOKUP(M34,TValor[],3,FALSE)+VLOOKUP(N34,TValor[],3,FALSE)</f>
        <v>72.999999999999986</v>
      </c>
      <c r="P34" s="30">
        <f>VLOOKUP(D34,TValor[],3,FALSE)*VLOOKUP($D$18,TPerfil[],3,FALSE)+(VLOOKUP(E34,TValor[],3,FALSE)+VLOOKUP(F34,TValor[],3,FALSE))*VLOOKUP(LEFT($E$18,1),TPerfil[],3,FALSE)+(VLOOKUP(G34,TValor[],3,FALSE)+VLOOKUP(H34,TValor[],3,FALSE)+VLOOKUP(I34,TValor[],3,FALSE)+VLOOKUP(J34,TValor[],3,FALSE)+VLOOKUP(K34,TValor[],3,FALSE)+VLOOKUP(L34,TValor[],3,FALSE)+VLOOKUP(M34,TValor[],3,FALSE)+VLOOKUP(N34,TValor[],3,FALSE))*VLOOKUP(LEFT($G$18,1),TPerfil[],3,FALSE)</f>
        <v>8.1649999999999991</v>
      </c>
      <c r="Q34" s="31">
        <v>0.03</v>
      </c>
      <c r="R34" s="32">
        <f t="shared" si="0"/>
        <v>0.24494999999999997</v>
      </c>
    </row>
    <row r="35" spans="2:18">
      <c r="B35" s="27">
        <v>17</v>
      </c>
      <c r="C35" s="28" t="s">
        <v>17</v>
      </c>
      <c r="D35" s="29" t="s">
        <v>55</v>
      </c>
      <c r="E35" s="29" t="s">
        <v>54</v>
      </c>
      <c r="F35" s="29" t="s">
        <v>53</v>
      </c>
      <c r="G35" s="29" t="s">
        <v>55</v>
      </c>
      <c r="H35" s="29" t="s">
        <v>54</v>
      </c>
      <c r="I35" s="29" t="s">
        <v>53</v>
      </c>
      <c r="J35" s="29" t="s">
        <v>55</v>
      </c>
      <c r="K35" s="29" t="s">
        <v>54</v>
      </c>
      <c r="L35" s="29" t="s">
        <v>53</v>
      </c>
      <c r="M35" s="29" t="s">
        <v>55</v>
      </c>
      <c r="N35" s="29" t="s">
        <v>53</v>
      </c>
      <c r="O35" s="32">
        <f>VLOOKUP(D35,TValor[],3,FALSE)+VLOOKUP(E35,TValor[],3,FALSE)+VLOOKUP(F35,TValor[],3,FALSE)+VLOOKUP(G35,TValor[],3,FALSE)+VLOOKUP(H35,TValor[],3,FALSE)+VLOOKUP(I35,TValor[],3,FALSE)+VLOOKUP(J35,TValor[],3,FALSE)+VLOOKUP(K35,TValor[],3,FALSE)+VLOOKUP(L35,TValor[],3,FALSE)+VLOOKUP(M35,TValor[],3,FALSE)+VLOOKUP(N35,TValor[],3,FALSE)</f>
        <v>72.999999999999986</v>
      </c>
      <c r="P35" s="30">
        <f>VLOOKUP(D35,TValor[],3,FALSE)*VLOOKUP($D$18,TPerfil[],3,FALSE)+(VLOOKUP(E35,TValor[],3,FALSE)+VLOOKUP(F35,TValor[],3,FALSE))*VLOOKUP(LEFT($E$18,1),TPerfil[],3,FALSE)+(VLOOKUP(G35,TValor[],3,FALSE)+VLOOKUP(H35,TValor[],3,FALSE)+VLOOKUP(I35,TValor[],3,FALSE)+VLOOKUP(J35,TValor[],3,FALSE)+VLOOKUP(K35,TValor[],3,FALSE)+VLOOKUP(L35,TValor[],3,FALSE)+VLOOKUP(M35,TValor[],3,FALSE)+VLOOKUP(N35,TValor[],3,FALSE))*VLOOKUP(LEFT($G$18,1),TPerfil[],3,FALSE)</f>
        <v>8.1649999999999991</v>
      </c>
      <c r="Q35" s="31">
        <v>0.02</v>
      </c>
      <c r="R35" s="32">
        <f t="shared" si="0"/>
        <v>0.16329999999999997</v>
      </c>
    </row>
    <row r="36" spans="2:18" ht="16.5">
      <c r="B36" s="27">
        <v>18</v>
      </c>
      <c r="C36" s="28" t="s">
        <v>43</v>
      </c>
      <c r="D36" s="29" t="s">
        <v>55</v>
      </c>
      <c r="E36" s="29" t="s">
        <v>54</v>
      </c>
      <c r="F36" s="29" t="s">
        <v>53</v>
      </c>
      <c r="G36" s="29" t="s">
        <v>55</v>
      </c>
      <c r="H36" s="29" t="s">
        <v>54</v>
      </c>
      <c r="I36" s="29" t="s">
        <v>53</v>
      </c>
      <c r="J36" s="29" t="s">
        <v>55</v>
      </c>
      <c r="K36" s="29" t="s">
        <v>54</v>
      </c>
      <c r="L36" s="29" t="s">
        <v>53</v>
      </c>
      <c r="M36" s="29" t="s">
        <v>55</v>
      </c>
      <c r="N36" s="29" t="s">
        <v>53</v>
      </c>
      <c r="O36" s="32">
        <f>VLOOKUP(D36,TValor[],3,FALSE)+VLOOKUP(E36,TValor[],3,FALSE)+VLOOKUP(F36,TValor[],3,FALSE)+VLOOKUP(G36,TValor[],3,FALSE)+VLOOKUP(H36,TValor[],3,FALSE)+VLOOKUP(I36,TValor[],3,FALSE)+VLOOKUP(J36,TValor[],3,FALSE)+VLOOKUP(K36,TValor[],3,FALSE)+VLOOKUP(L36,TValor[],3,FALSE)+VLOOKUP(M36,TValor[],3,FALSE)+VLOOKUP(N36,TValor[],3,FALSE)</f>
        <v>72.999999999999986</v>
      </c>
      <c r="P36" s="30">
        <f>VLOOKUP(D36,TValor[],3,FALSE)*VLOOKUP($D$18,TPerfil[],3,FALSE)+(VLOOKUP(E36,TValor[],3,FALSE)+VLOOKUP(F36,TValor[],3,FALSE))*VLOOKUP(LEFT($E$18,1),TPerfil[],3,FALSE)+(VLOOKUP(G36,TValor[],3,FALSE)+VLOOKUP(H36,TValor[],3,FALSE)+VLOOKUP(I36,TValor[],3,FALSE)+VLOOKUP(J36,TValor[],3,FALSE)+VLOOKUP(K36,TValor[],3,FALSE)+VLOOKUP(L36,TValor[],3,FALSE)+VLOOKUP(M36,TValor[],3,FALSE)+VLOOKUP(N36,TValor[],3,FALSE))*VLOOKUP(LEFT($G$18,1),TPerfil[],3,FALSE)</f>
        <v>8.1649999999999991</v>
      </c>
      <c r="Q36" s="31">
        <v>0.03</v>
      </c>
      <c r="R36" s="32">
        <f t="shared" si="0"/>
        <v>0.24494999999999997</v>
      </c>
    </row>
    <row r="37" spans="2:18">
      <c r="B37" s="27">
        <v>19</v>
      </c>
      <c r="C37" s="28" t="s">
        <v>11</v>
      </c>
      <c r="D37" s="29" t="s">
        <v>55</v>
      </c>
      <c r="E37" s="29" t="s">
        <v>54</v>
      </c>
      <c r="F37" s="29" t="s">
        <v>53</v>
      </c>
      <c r="G37" s="29" t="s">
        <v>55</v>
      </c>
      <c r="H37" s="29" t="s">
        <v>54</v>
      </c>
      <c r="I37" s="29" t="s">
        <v>53</v>
      </c>
      <c r="J37" s="29" t="s">
        <v>55</v>
      </c>
      <c r="K37" s="29" t="s">
        <v>54</v>
      </c>
      <c r="L37" s="29" t="s">
        <v>53</v>
      </c>
      <c r="M37" s="29" t="s">
        <v>55</v>
      </c>
      <c r="N37" s="29" t="s">
        <v>53</v>
      </c>
      <c r="O37" s="32">
        <f>VLOOKUP(D37,TValor[],3,FALSE)+VLOOKUP(E37,TValor[],3,FALSE)+VLOOKUP(F37,TValor[],3,FALSE)+VLOOKUP(G37,TValor[],3,FALSE)+VLOOKUP(H37,TValor[],3,FALSE)+VLOOKUP(I37,TValor[],3,FALSE)+VLOOKUP(J37,TValor[],3,FALSE)+VLOOKUP(K37,TValor[],3,FALSE)+VLOOKUP(L37,TValor[],3,FALSE)+VLOOKUP(M37,TValor[],3,FALSE)+VLOOKUP(N37,TValor[],3,FALSE)</f>
        <v>72.999999999999986</v>
      </c>
      <c r="P37" s="30">
        <f>VLOOKUP(D37,TValor[],3,FALSE)*VLOOKUP($D$18,TPerfil[],3,FALSE)+(VLOOKUP(E37,TValor[],3,FALSE)+VLOOKUP(F37,TValor[],3,FALSE))*VLOOKUP(LEFT($E$18,1),TPerfil[],3,FALSE)+(VLOOKUP(G37,TValor[],3,FALSE)+VLOOKUP(H37,TValor[],3,FALSE)+VLOOKUP(I37,TValor[],3,FALSE)+VLOOKUP(J37,TValor[],3,FALSE)+VLOOKUP(K37,TValor[],3,FALSE)+VLOOKUP(L37,TValor[],3,FALSE)+VLOOKUP(M37,TValor[],3,FALSE)+VLOOKUP(N37,TValor[],3,FALSE))*VLOOKUP(LEFT($G$18,1),TPerfil[],3,FALSE)</f>
        <v>8.1649999999999991</v>
      </c>
      <c r="Q37" s="31">
        <v>0.06</v>
      </c>
      <c r="R37" s="32">
        <f t="shared" si="0"/>
        <v>0.48989999999999995</v>
      </c>
    </row>
    <row r="38" spans="2:18">
      <c r="B38" s="27">
        <v>20</v>
      </c>
      <c r="C38" s="28" t="s">
        <v>18</v>
      </c>
      <c r="D38" s="29" t="s">
        <v>55</v>
      </c>
      <c r="E38" s="29" t="s">
        <v>54</v>
      </c>
      <c r="F38" s="29" t="s">
        <v>53</v>
      </c>
      <c r="G38" s="29" t="s">
        <v>55</v>
      </c>
      <c r="H38" s="29" t="s">
        <v>54</v>
      </c>
      <c r="I38" s="29" t="s">
        <v>53</v>
      </c>
      <c r="J38" s="29" t="s">
        <v>55</v>
      </c>
      <c r="K38" s="29" t="s">
        <v>54</v>
      </c>
      <c r="L38" s="29" t="s">
        <v>53</v>
      </c>
      <c r="M38" s="29" t="s">
        <v>55</v>
      </c>
      <c r="N38" s="29" t="s">
        <v>53</v>
      </c>
      <c r="O38" s="32">
        <f>VLOOKUP(D38,TValor[],3,FALSE)+VLOOKUP(E38,TValor[],3,FALSE)+VLOOKUP(F38,TValor[],3,FALSE)+VLOOKUP(G38,TValor[],3,FALSE)+VLOOKUP(H38,TValor[],3,FALSE)+VLOOKUP(I38,TValor[],3,FALSE)+VLOOKUP(J38,TValor[],3,FALSE)+VLOOKUP(K38,TValor[],3,FALSE)+VLOOKUP(L38,TValor[],3,FALSE)+VLOOKUP(M38,TValor[],3,FALSE)+VLOOKUP(N38,TValor[],3,FALSE)</f>
        <v>72.999999999999986</v>
      </c>
      <c r="P38" s="30">
        <f>VLOOKUP(D38,TValor[],3,FALSE)*VLOOKUP($D$18,TPerfil[],3,FALSE)+(VLOOKUP(E38,TValor[],3,FALSE)+VLOOKUP(F38,TValor[],3,FALSE))*VLOOKUP(LEFT($E$18,1),TPerfil[],3,FALSE)+(VLOOKUP(G38,TValor[],3,FALSE)+VLOOKUP(H38,TValor[],3,FALSE)+VLOOKUP(I38,TValor[],3,FALSE)+VLOOKUP(J38,TValor[],3,FALSE)+VLOOKUP(K38,TValor[],3,FALSE)+VLOOKUP(L38,TValor[],3,FALSE)+VLOOKUP(M38,TValor[],3,FALSE)+VLOOKUP(N38,TValor[],3,FALSE))*VLOOKUP(LEFT($G$18,1),TPerfil[],3,FALSE)</f>
        <v>8.1649999999999991</v>
      </c>
      <c r="Q38" s="31">
        <v>0.04</v>
      </c>
      <c r="R38" s="32">
        <f t="shared" si="0"/>
        <v>0.32659999999999995</v>
      </c>
    </row>
    <row r="39" spans="2:18">
      <c r="B39" s="27">
        <v>21</v>
      </c>
      <c r="C39" s="28" t="s">
        <v>19</v>
      </c>
      <c r="D39" s="29" t="s">
        <v>55</v>
      </c>
      <c r="E39" s="29" t="s">
        <v>54</v>
      </c>
      <c r="F39" s="29" t="s">
        <v>53</v>
      </c>
      <c r="G39" s="29" t="s">
        <v>55</v>
      </c>
      <c r="H39" s="29" t="s">
        <v>54</v>
      </c>
      <c r="I39" s="29" t="s">
        <v>53</v>
      </c>
      <c r="J39" s="29" t="s">
        <v>55</v>
      </c>
      <c r="K39" s="29" t="s">
        <v>54</v>
      </c>
      <c r="L39" s="29" t="s">
        <v>53</v>
      </c>
      <c r="M39" s="29" t="s">
        <v>55</v>
      </c>
      <c r="N39" s="29" t="s">
        <v>53</v>
      </c>
      <c r="O39" s="32">
        <f>VLOOKUP(D39,TValor[],3,FALSE)+VLOOKUP(E39,TValor[],3,FALSE)+VLOOKUP(F39,TValor[],3,FALSE)+VLOOKUP(G39,TValor[],3,FALSE)+VLOOKUP(H39,TValor[],3,FALSE)+VLOOKUP(I39,TValor[],3,FALSE)+VLOOKUP(J39,TValor[],3,FALSE)+VLOOKUP(K39,TValor[],3,FALSE)+VLOOKUP(L39,TValor[],3,FALSE)+VLOOKUP(M39,TValor[],3,FALSE)+VLOOKUP(N39,TValor[],3,FALSE)</f>
        <v>72.999999999999986</v>
      </c>
      <c r="P39" s="30">
        <f>VLOOKUP(D39,TValor[],3,FALSE)*VLOOKUP($D$18,TPerfil[],3,FALSE)+(VLOOKUP(E39,TValor[],3,FALSE)+VLOOKUP(F39,TValor[],3,FALSE))*VLOOKUP(LEFT($E$18,1),TPerfil[],3,FALSE)+(VLOOKUP(G39,TValor[],3,FALSE)+VLOOKUP(H39,TValor[],3,FALSE)+VLOOKUP(I39,TValor[],3,FALSE)+VLOOKUP(J39,TValor[],3,FALSE)+VLOOKUP(K39,TValor[],3,FALSE)+VLOOKUP(L39,TValor[],3,FALSE)+VLOOKUP(M39,TValor[],3,FALSE)+VLOOKUP(N39,TValor[],3,FALSE))*VLOOKUP(LEFT($G$18,1),TPerfil[],3,FALSE)</f>
        <v>8.1649999999999991</v>
      </c>
      <c r="Q39" s="31">
        <v>0.04</v>
      </c>
      <c r="R39" s="32">
        <f t="shared" si="0"/>
        <v>0.32659999999999995</v>
      </c>
    </row>
    <row r="40" spans="2:18">
      <c r="B40" s="27">
        <v>22</v>
      </c>
      <c r="C40" s="28" t="s">
        <v>20</v>
      </c>
      <c r="D40" s="29" t="s">
        <v>55</v>
      </c>
      <c r="E40" s="29" t="s">
        <v>54</v>
      </c>
      <c r="F40" s="29" t="s">
        <v>53</v>
      </c>
      <c r="G40" s="29" t="s">
        <v>55</v>
      </c>
      <c r="H40" s="29" t="s">
        <v>54</v>
      </c>
      <c r="I40" s="29" t="s">
        <v>53</v>
      </c>
      <c r="J40" s="29" t="s">
        <v>55</v>
      </c>
      <c r="K40" s="29" t="s">
        <v>54</v>
      </c>
      <c r="L40" s="29" t="s">
        <v>53</v>
      </c>
      <c r="M40" s="29" t="s">
        <v>55</v>
      </c>
      <c r="N40" s="29" t="s">
        <v>53</v>
      </c>
      <c r="O40" s="32">
        <f>VLOOKUP(D40,TValor[],3,FALSE)+VLOOKUP(E40,TValor[],3,FALSE)+VLOOKUP(F40,TValor[],3,FALSE)+VLOOKUP(G40,TValor[],3,FALSE)+VLOOKUP(H40,TValor[],3,FALSE)+VLOOKUP(I40,TValor[],3,FALSE)+VLOOKUP(J40,TValor[],3,FALSE)+VLOOKUP(K40,TValor[],3,FALSE)+VLOOKUP(L40,TValor[],3,FALSE)+VLOOKUP(M40,TValor[],3,FALSE)+VLOOKUP(N40,TValor[],3,FALSE)</f>
        <v>72.999999999999986</v>
      </c>
      <c r="P40" s="30">
        <f>VLOOKUP(D40,TValor[],3,FALSE)*VLOOKUP($D$18,TPerfil[],3,FALSE)+(VLOOKUP(E40,TValor[],3,FALSE)+VLOOKUP(F40,TValor[],3,FALSE))*VLOOKUP(LEFT($E$18,1),TPerfil[],3,FALSE)+(VLOOKUP(G40,TValor[],3,FALSE)+VLOOKUP(H40,TValor[],3,FALSE)+VLOOKUP(I40,TValor[],3,FALSE)+VLOOKUP(J40,TValor[],3,FALSE)+VLOOKUP(K40,TValor[],3,FALSE)+VLOOKUP(L40,TValor[],3,FALSE)+VLOOKUP(M40,TValor[],3,FALSE)+VLOOKUP(N40,TValor[],3,FALSE))*VLOOKUP(LEFT($G$18,1),TPerfil[],3,FALSE)</f>
        <v>8.1649999999999991</v>
      </c>
      <c r="Q40" s="31">
        <v>0.03</v>
      </c>
      <c r="R40" s="32">
        <f t="shared" si="0"/>
        <v>0.24494999999999997</v>
      </c>
    </row>
    <row r="41" spans="2:18">
      <c r="B41" s="27">
        <v>23</v>
      </c>
      <c r="C41" s="28" t="s">
        <v>23</v>
      </c>
      <c r="D41" s="29" t="s">
        <v>55</v>
      </c>
      <c r="E41" s="29" t="s">
        <v>54</v>
      </c>
      <c r="F41" s="29" t="s">
        <v>53</v>
      </c>
      <c r="G41" s="29" t="s">
        <v>55</v>
      </c>
      <c r="H41" s="29" t="s">
        <v>54</v>
      </c>
      <c r="I41" s="29" t="s">
        <v>53</v>
      </c>
      <c r="J41" s="29" t="s">
        <v>55</v>
      </c>
      <c r="K41" s="29" t="s">
        <v>54</v>
      </c>
      <c r="L41" s="29" t="s">
        <v>53</v>
      </c>
      <c r="M41" s="29" t="s">
        <v>55</v>
      </c>
      <c r="N41" s="29" t="s">
        <v>53</v>
      </c>
      <c r="O41" s="32">
        <f>VLOOKUP(D41,TValor[],3,FALSE)+VLOOKUP(E41,TValor[],3,FALSE)+VLOOKUP(F41,TValor[],3,FALSE)+VLOOKUP(G41,TValor[],3,FALSE)+VLOOKUP(H41,TValor[],3,FALSE)+VLOOKUP(I41,TValor[],3,FALSE)+VLOOKUP(J41,TValor[],3,FALSE)+VLOOKUP(K41,TValor[],3,FALSE)+VLOOKUP(L41,TValor[],3,FALSE)+VLOOKUP(M41,TValor[],3,FALSE)+VLOOKUP(N41,TValor[],3,FALSE)</f>
        <v>72.999999999999986</v>
      </c>
      <c r="P41" s="30">
        <f>VLOOKUP(D41,TValor[],3,FALSE)*VLOOKUP($D$18,TPerfil[],3,FALSE)+(VLOOKUP(E41,TValor[],3,FALSE)+VLOOKUP(F41,TValor[],3,FALSE))*VLOOKUP(LEFT($E$18,1),TPerfil[],3,FALSE)+(VLOOKUP(G41,TValor[],3,FALSE)+VLOOKUP(H41,TValor[],3,FALSE)+VLOOKUP(I41,TValor[],3,FALSE)+VLOOKUP(J41,TValor[],3,FALSE)+VLOOKUP(K41,TValor[],3,FALSE)+VLOOKUP(L41,TValor[],3,FALSE)+VLOOKUP(M41,TValor[],3,FALSE)+VLOOKUP(N41,TValor[],3,FALSE))*VLOOKUP(LEFT($G$18,1),TPerfil[],3,FALSE)</f>
        <v>8.1649999999999991</v>
      </c>
      <c r="Q41" s="31">
        <v>0.03</v>
      </c>
      <c r="R41" s="32">
        <f t="shared" si="0"/>
        <v>0.24494999999999997</v>
      </c>
    </row>
    <row r="42" spans="2:18">
      <c r="B42" s="27">
        <v>24</v>
      </c>
      <c r="C42" s="28" t="s">
        <v>21</v>
      </c>
      <c r="D42" s="29" t="s">
        <v>55</v>
      </c>
      <c r="E42" s="29" t="s">
        <v>54</v>
      </c>
      <c r="F42" s="29" t="s">
        <v>53</v>
      </c>
      <c r="G42" s="29" t="s">
        <v>55</v>
      </c>
      <c r="H42" s="29" t="s">
        <v>54</v>
      </c>
      <c r="I42" s="29" t="s">
        <v>53</v>
      </c>
      <c r="J42" s="29" t="s">
        <v>55</v>
      </c>
      <c r="K42" s="29" t="s">
        <v>54</v>
      </c>
      <c r="L42" s="29" t="s">
        <v>53</v>
      </c>
      <c r="M42" s="29" t="s">
        <v>55</v>
      </c>
      <c r="N42" s="29" t="s">
        <v>53</v>
      </c>
      <c r="O42" s="32">
        <f>VLOOKUP(D42,TValor[],3,FALSE)+VLOOKUP(E42,TValor[],3,FALSE)+VLOOKUP(F42,TValor[],3,FALSE)+VLOOKUP(G42,TValor[],3,FALSE)+VLOOKUP(H42,TValor[],3,FALSE)+VLOOKUP(I42,TValor[],3,FALSE)+VLOOKUP(J42,TValor[],3,FALSE)+VLOOKUP(K42,TValor[],3,FALSE)+VLOOKUP(L42,TValor[],3,FALSE)+VLOOKUP(M42,TValor[],3,FALSE)+VLOOKUP(N42,TValor[],3,FALSE)</f>
        <v>72.999999999999986</v>
      </c>
      <c r="P42" s="30">
        <f>VLOOKUP(D42,TValor[],3,FALSE)*VLOOKUP($D$18,TPerfil[],3,FALSE)+(VLOOKUP(E42,TValor[],3,FALSE)+VLOOKUP(F42,TValor[],3,FALSE))*VLOOKUP(LEFT($E$18,1),TPerfil[],3,FALSE)+(VLOOKUP(G42,TValor[],3,FALSE)+VLOOKUP(H42,TValor[],3,FALSE)+VLOOKUP(I42,TValor[],3,FALSE)+VLOOKUP(J42,TValor[],3,FALSE)+VLOOKUP(K42,TValor[],3,FALSE)+VLOOKUP(L42,TValor[],3,FALSE)+VLOOKUP(M42,TValor[],3,FALSE)+VLOOKUP(N42,TValor[],3,FALSE))*VLOOKUP(LEFT($G$18,1),TPerfil[],3,FALSE)</f>
        <v>8.1649999999999991</v>
      </c>
      <c r="Q42" s="31">
        <v>0.01</v>
      </c>
      <c r="R42" s="32">
        <f t="shared" si="0"/>
        <v>8.1649999999999986E-2</v>
      </c>
    </row>
    <row r="43" spans="2:18">
      <c r="B43" s="27">
        <v>25</v>
      </c>
      <c r="C43" s="28" t="s">
        <v>37</v>
      </c>
      <c r="D43" s="29" t="s">
        <v>55</v>
      </c>
      <c r="E43" s="29" t="s">
        <v>54</v>
      </c>
      <c r="F43" s="29" t="s">
        <v>53</v>
      </c>
      <c r="G43" s="29" t="s">
        <v>55</v>
      </c>
      <c r="H43" s="29" t="s">
        <v>54</v>
      </c>
      <c r="I43" s="29" t="s">
        <v>53</v>
      </c>
      <c r="J43" s="29" t="s">
        <v>55</v>
      </c>
      <c r="K43" s="29" t="s">
        <v>54</v>
      </c>
      <c r="L43" s="29" t="s">
        <v>53</v>
      </c>
      <c r="M43" s="29" t="s">
        <v>55</v>
      </c>
      <c r="N43" s="29" t="s">
        <v>53</v>
      </c>
      <c r="O43" s="32">
        <f>VLOOKUP(D43,TValor[],3,FALSE)+VLOOKUP(E43,TValor[],3,FALSE)+VLOOKUP(F43,TValor[],3,FALSE)+VLOOKUP(G43,TValor[],3,FALSE)+VLOOKUP(H43,TValor[],3,FALSE)+VLOOKUP(I43,TValor[],3,FALSE)+VLOOKUP(J43,TValor[],3,FALSE)+VLOOKUP(K43,TValor[],3,FALSE)+VLOOKUP(L43,TValor[],3,FALSE)+VLOOKUP(M43,TValor[],3,FALSE)+VLOOKUP(N43,TValor[],3,FALSE)</f>
        <v>72.999999999999986</v>
      </c>
      <c r="P43" s="30">
        <f>VLOOKUP(D43,TValor[],3,FALSE)*VLOOKUP($D$18,TPerfil[],3,FALSE)+(VLOOKUP(E43,TValor[],3,FALSE)+VLOOKUP(F43,TValor[],3,FALSE))*VLOOKUP(LEFT($E$18,1),TPerfil[],3,FALSE)+(VLOOKUP(G43,TValor[],3,FALSE)+VLOOKUP(H43,TValor[],3,FALSE)+VLOOKUP(I43,TValor[],3,FALSE)+VLOOKUP(J43,TValor[],3,FALSE)+VLOOKUP(K43,TValor[],3,FALSE)+VLOOKUP(L43,TValor[],3,FALSE)+VLOOKUP(M43,TValor[],3,FALSE)+VLOOKUP(N43,TValor[],3,FALSE))*VLOOKUP(LEFT($G$18,1),TPerfil[],3,FALSE)</f>
        <v>8.1649999999999991</v>
      </c>
      <c r="Q43" s="31">
        <v>0.01</v>
      </c>
      <c r="R43" s="32">
        <f t="shared" si="0"/>
        <v>8.1649999999999986E-2</v>
      </c>
    </row>
    <row r="44" spans="2:18">
      <c r="B44" s="27">
        <v>26</v>
      </c>
      <c r="C44" s="28" t="s">
        <v>38</v>
      </c>
      <c r="D44" s="29" t="s">
        <v>55</v>
      </c>
      <c r="E44" s="29" t="s">
        <v>54</v>
      </c>
      <c r="F44" s="29" t="s">
        <v>53</v>
      </c>
      <c r="G44" s="29" t="s">
        <v>55</v>
      </c>
      <c r="H44" s="29" t="s">
        <v>54</v>
      </c>
      <c r="I44" s="29" t="s">
        <v>53</v>
      </c>
      <c r="J44" s="29" t="s">
        <v>55</v>
      </c>
      <c r="K44" s="29" t="s">
        <v>54</v>
      </c>
      <c r="L44" s="29" t="s">
        <v>53</v>
      </c>
      <c r="M44" s="29" t="s">
        <v>55</v>
      </c>
      <c r="N44" s="29" t="s">
        <v>53</v>
      </c>
      <c r="O44" s="32">
        <f>VLOOKUP(D44,TValor[],3,FALSE)+VLOOKUP(E44,TValor[],3,FALSE)+VLOOKUP(F44,TValor[],3,FALSE)+VLOOKUP(G44,TValor[],3,FALSE)+VLOOKUP(H44,TValor[],3,FALSE)+VLOOKUP(I44,TValor[],3,FALSE)+VLOOKUP(J44,TValor[],3,FALSE)+VLOOKUP(K44,TValor[],3,FALSE)+VLOOKUP(L44,TValor[],3,FALSE)+VLOOKUP(M44,TValor[],3,FALSE)+VLOOKUP(N44,TValor[],3,FALSE)</f>
        <v>72.999999999999986</v>
      </c>
      <c r="P44" s="30">
        <f>VLOOKUP(D44,TValor[],3,FALSE)*VLOOKUP($D$18,TPerfil[],3,FALSE)+(VLOOKUP(E44,TValor[],3,FALSE)+VLOOKUP(F44,TValor[],3,FALSE))*VLOOKUP(LEFT($E$18,1),TPerfil[],3,FALSE)+(VLOOKUP(G44,TValor[],3,FALSE)+VLOOKUP(H44,TValor[],3,FALSE)+VLOOKUP(I44,TValor[],3,FALSE)+VLOOKUP(J44,TValor[],3,FALSE)+VLOOKUP(K44,TValor[],3,FALSE)+VLOOKUP(L44,TValor[],3,FALSE)+VLOOKUP(M44,TValor[],3,FALSE)+VLOOKUP(N44,TValor[],3,FALSE))*VLOOKUP(LEFT($G$18,1),TPerfil[],3,FALSE)</f>
        <v>8.1649999999999991</v>
      </c>
      <c r="Q44" s="31">
        <v>0.03</v>
      </c>
      <c r="R44" s="32">
        <f t="shared" si="0"/>
        <v>0.24494999999999997</v>
      </c>
    </row>
    <row r="45" spans="2:18">
      <c r="B45" s="27">
        <v>27</v>
      </c>
      <c r="C45" s="28" t="s">
        <v>22</v>
      </c>
      <c r="D45" s="29" t="s">
        <v>55</v>
      </c>
      <c r="E45" s="29" t="s">
        <v>54</v>
      </c>
      <c r="F45" s="29" t="s">
        <v>53</v>
      </c>
      <c r="G45" s="29" t="s">
        <v>55</v>
      </c>
      <c r="H45" s="29" t="s">
        <v>54</v>
      </c>
      <c r="I45" s="29" t="s">
        <v>53</v>
      </c>
      <c r="J45" s="29" t="s">
        <v>55</v>
      </c>
      <c r="K45" s="29" t="s">
        <v>54</v>
      </c>
      <c r="L45" s="29" t="s">
        <v>53</v>
      </c>
      <c r="M45" s="29" t="s">
        <v>55</v>
      </c>
      <c r="N45" s="29" t="s">
        <v>53</v>
      </c>
      <c r="O45" s="32">
        <f>VLOOKUP(D45,TValor[],3,FALSE)+VLOOKUP(E45,TValor[],3,FALSE)+VLOOKUP(F45,TValor[],3,FALSE)+VLOOKUP(G45,TValor[],3,FALSE)+VLOOKUP(H45,TValor[],3,FALSE)+VLOOKUP(I45,TValor[],3,FALSE)+VLOOKUP(J45,TValor[],3,FALSE)+VLOOKUP(K45,TValor[],3,FALSE)+VLOOKUP(L45,TValor[],3,FALSE)+VLOOKUP(M45,TValor[],3,FALSE)+VLOOKUP(N45,TValor[],3,FALSE)</f>
        <v>72.999999999999986</v>
      </c>
      <c r="P45" s="30">
        <f>VLOOKUP(D45,TValor[],3,FALSE)*VLOOKUP($D$18,TPerfil[],3,FALSE)+(VLOOKUP(E45,TValor[],3,FALSE)+VLOOKUP(F45,TValor[],3,FALSE))*VLOOKUP(LEFT($E$18,1),TPerfil[],3,FALSE)+(VLOOKUP(G45,TValor[],3,FALSE)+VLOOKUP(H45,TValor[],3,FALSE)+VLOOKUP(I45,TValor[],3,FALSE)+VLOOKUP(J45,TValor[],3,FALSE)+VLOOKUP(K45,TValor[],3,FALSE)+VLOOKUP(L45,TValor[],3,FALSE)+VLOOKUP(M45,TValor[],3,FALSE)+VLOOKUP(N45,TValor[],3,FALSE))*VLOOKUP(LEFT($G$18,1),TPerfil[],3,FALSE)</f>
        <v>8.1649999999999991</v>
      </c>
      <c r="Q45" s="31">
        <v>0.01</v>
      </c>
      <c r="R45" s="32">
        <f t="shared" si="0"/>
        <v>8.1649999999999986E-2</v>
      </c>
    </row>
    <row r="46" spans="2:18">
      <c r="B46" s="27">
        <v>28</v>
      </c>
      <c r="C46" s="28" t="s">
        <v>46</v>
      </c>
      <c r="D46" s="29" t="s">
        <v>55</v>
      </c>
      <c r="E46" s="29" t="s">
        <v>54</v>
      </c>
      <c r="F46" s="29" t="s">
        <v>53</v>
      </c>
      <c r="G46" s="29" t="s">
        <v>55</v>
      </c>
      <c r="H46" s="29" t="s">
        <v>54</v>
      </c>
      <c r="I46" s="29" t="s">
        <v>53</v>
      </c>
      <c r="J46" s="29" t="s">
        <v>55</v>
      </c>
      <c r="K46" s="29" t="s">
        <v>54</v>
      </c>
      <c r="L46" s="29" t="s">
        <v>53</v>
      </c>
      <c r="M46" s="29" t="s">
        <v>55</v>
      </c>
      <c r="N46" s="29" t="s">
        <v>53</v>
      </c>
      <c r="O46" s="32">
        <f>VLOOKUP(D46,TValor[],3,FALSE)+VLOOKUP(E46,TValor[],3,FALSE)+VLOOKUP(F46,TValor[],3,FALSE)+VLOOKUP(G46,TValor[],3,FALSE)+VLOOKUP(H46,TValor[],3,FALSE)+VLOOKUP(I46,TValor[],3,FALSE)+VLOOKUP(J46,TValor[],3,FALSE)+VLOOKUP(K46,TValor[],3,FALSE)+VLOOKUP(L46,TValor[],3,FALSE)+VLOOKUP(M46,TValor[],3,FALSE)+VLOOKUP(N46,TValor[],3,FALSE)</f>
        <v>72.999999999999986</v>
      </c>
      <c r="P46" s="30">
        <f>VLOOKUP(D46,TValor[],3,FALSE)*VLOOKUP($D$18,TPerfil[],3,FALSE)+(VLOOKUP(E46,TValor[],3,FALSE)+VLOOKUP(F46,TValor[],3,FALSE))*VLOOKUP(LEFT($E$18,1),TPerfil[],3,FALSE)+(VLOOKUP(G46,TValor[],3,FALSE)+VLOOKUP(H46,TValor[],3,FALSE)+VLOOKUP(I46,TValor[],3,FALSE)+VLOOKUP(J46,TValor[],3,FALSE)+VLOOKUP(K46,TValor[],3,FALSE)+VLOOKUP(L46,TValor[],3,FALSE)+VLOOKUP(M46,TValor[],3,FALSE)+VLOOKUP(N46,TValor[],3,FALSE))*VLOOKUP(LEFT($G$18,1),TPerfil[],3,FALSE)</f>
        <v>8.1649999999999991</v>
      </c>
      <c r="Q46" s="31">
        <v>0.03</v>
      </c>
      <c r="R46" s="32">
        <f t="shared" si="0"/>
        <v>0.24494999999999997</v>
      </c>
    </row>
    <row r="47" spans="2:18">
      <c r="B47" s="27">
        <v>29</v>
      </c>
      <c r="C47" s="28" t="s">
        <v>26</v>
      </c>
      <c r="D47" s="29" t="s">
        <v>55</v>
      </c>
      <c r="E47" s="29" t="s">
        <v>54</v>
      </c>
      <c r="F47" s="29" t="s">
        <v>53</v>
      </c>
      <c r="G47" s="29" t="s">
        <v>55</v>
      </c>
      <c r="H47" s="29" t="s">
        <v>54</v>
      </c>
      <c r="I47" s="29" t="s">
        <v>53</v>
      </c>
      <c r="J47" s="29" t="s">
        <v>55</v>
      </c>
      <c r="K47" s="29" t="s">
        <v>54</v>
      </c>
      <c r="L47" s="29" t="s">
        <v>53</v>
      </c>
      <c r="M47" s="29" t="s">
        <v>55</v>
      </c>
      <c r="N47" s="29" t="s">
        <v>53</v>
      </c>
      <c r="O47" s="32">
        <f>VLOOKUP(D47,TValor[],3,FALSE)+VLOOKUP(E47,TValor[],3,FALSE)+VLOOKUP(F47,TValor[],3,FALSE)+VLOOKUP(G47,TValor[],3,FALSE)+VLOOKUP(H47,TValor[],3,FALSE)+VLOOKUP(I47,TValor[],3,FALSE)+VLOOKUP(J47,TValor[],3,FALSE)+VLOOKUP(K47,TValor[],3,FALSE)+VLOOKUP(L47,TValor[],3,FALSE)+VLOOKUP(M47,TValor[],3,FALSE)+VLOOKUP(N47,TValor[],3,FALSE)</f>
        <v>72.999999999999986</v>
      </c>
      <c r="P47" s="30">
        <f>VLOOKUP(D47,TValor[],3,FALSE)*VLOOKUP($D$18,TPerfil[],3,FALSE)+(VLOOKUP(E47,TValor[],3,FALSE)+VLOOKUP(F47,TValor[],3,FALSE))*VLOOKUP(LEFT($E$18,1),TPerfil[],3,FALSE)+(VLOOKUP(G47,TValor[],3,FALSE)+VLOOKUP(H47,TValor[],3,FALSE)+VLOOKUP(I47,TValor[],3,FALSE)+VLOOKUP(J47,TValor[],3,FALSE)+VLOOKUP(K47,TValor[],3,FALSE)+VLOOKUP(L47,TValor[],3,FALSE)+VLOOKUP(M47,TValor[],3,FALSE)+VLOOKUP(N47,TValor[],3,FALSE))*VLOOKUP(LEFT($G$18,1),TPerfil[],3,FALSE)</f>
        <v>8.1649999999999991</v>
      </c>
      <c r="Q47" s="31">
        <v>0.02</v>
      </c>
      <c r="R47" s="32">
        <f t="shared" si="0"/>
        <v>0.16329999999999997</v>
      </c>
    </row>
    <row r="48" spans="2:18">
      <c r="B48" s="27">
        <v>30</v>
      </c>
      <c r="C48" s="28" t="s">
        <v>27</v>
      </c>
      <c r="D48" s="29" t="s">
        <v>55</v>
      </c>
      <c r="E48" s="29" t="s">
        <v>54</v>
      </c>
      <c r="F48" s="29" t="s">
        <v>53</v>
      </c>
      <c r="G48" s="29" t="s">
        <v>55</v>
      </c>
      <c r="H48" s="29" t="s">
        <v>54</v>
      </c>
      <c r="I48" s="29" t="s">
        <v>53</v>
      </c>
      <c r="J48" s="29" t="s">
        <v>55</v>
      </c>
      <c r="K48" s="29" t="s">
        <v>54</v>
      </c>
      <c r="L48" s="29" t="s">
        <v>53</v>
      </c>
      <c r="M48" s="29" t="s">
        <v>55</v>
      </c>
      <c r="N48" s="29" t="s">
        <v>53</v>
      </c>
      <c r="O48" s="32">
        <f>VLOOKUP(D48,TValor[],3,FALSE)+VLOOKUP(E48,TValor[],3,FALSE)+VLOOKUP(F48,TValor[],3,FALSE)+VLOOKUP(G48,TValor[],3,FALSE)+VLOOKUP(H48,TValor[],3,FALSE)+VLOOKUP(I48,TValor[],3,FALSE)+VLOOKUP(J48,TValor[],3,FALSE)+VLOOKUP(K48,TValor[],3,FALSE)+VLOOKUP(L48,TValor[],3,FALSE)+VLOOKUP(M48,TValor[],3,FALSE)+VLOOKUP(N48,TValor[],3,FALSE)</f>
        <v>72.999999999999986</v>
      </c>
      <c r="P48" s="30">
        <f>VLOOKUP(D48,TValor[],3,FALSE)*VLOOKUP($D$18,TPerfil[],3,FALSE)+(VLOOKUP(E48,TValor[],3,FALSE)+VLOOKUP(F48,TValor[],3,FALSE))*VLOOKUP(LEFT($E$18,1),TPerfil[],3,FALSE)+(VLOOKUP(G48,TValor[],3,FALSE)+VLOOKUP(H48,TValor[],3,FALSE)+VLOOKUP(I48,TValor[],3,FALSE)+VLOOKUP(J48,TValor[],3,FALSE)+VLOOKUP(K48,TValor[],3,FALSE)+VLOOKUP(L48,TValor[],3,FALSE)+VLOOKUP(M48,TValor[],3,FALSE)+VLOOKUP(N48,TValor[],3,FALSE))*VLOOKUP(LEFT($G$18,1),TPerfil[],3,FALSE)</f>
        <v>8.1649999999999991</v>
      </c>
      <c r="Q48" s="31">
        <v>0.02</v>
      </c>
      <c r="R48" s="32">
        <f t="shared" si="0"/>
        <v>0.16329999999999997</v>
      </c>
    </row>
    <row r="49" spans="2:18">
      <c r="B49" s="27">
        <v>31</v>
      </c>
      <c r="C49" s="28" t="s">
        <v>28</v>
      </c>
      <c r="D49" s="29" t="s">
        <v>55</v>
      </c>
      <c r="E49" s="29" t="s">
        <v>54</v>
      </c>
      <c r="F49" s="29" t="s">
        <v>53</v>
      </c>
      <c r="G49" s="29" t="s">
        <v>55</v>
      </c>
      <c r="H49" s="29" t="s">
        <v>54</v>
      </c>
      <c r="I49" s="29" t="s">
        <v>53</v>
      </c>
      <c r="J49" s="29" t="s">
        <v>55</v>
      </c>
      <c r="K49" s="29" t="s">
        <v>54</v>
      </c>
      <c r="L49" s="29" t="s">
        <v>53</v>
      </c>
      <c r="M49" s="29" t="s">
        <v>55</v>
      </c>
      <c r="N49" s="29" t="s">
        <v>53</v>
      </c>
      <c r="O49" s="32">
        <f>VLOOKUP(D49,TValor[],3,FALSE)+VLOOKUP(E49,TValor[],3,FALSE)+VLOOKUP(F49,TValor[],3,FALSE)+VLOOKUP(G49,TValor[],3,FALSE)+VLOOKUP(H49,TValor[],3,FALSE)+VLOOKUP(I49,TValor[],3,FALSE)+VLOOKUP(J49,TValor[],3,FALSE)+VLOOKUP(K49,TValor[],3,FALSE)+VLOOKUP(L49,TValor[],3,FALSE)+VLOOKUP(M49,TValor[],3,FALSE)+VLOOKUP(N49,TValor[],3,FALSE)</f>
        <v>72.999999999999986</v>
      </c>
      <c r="P49" s="30">
        <f>VLOOKUP(D49,TValor[],3,FALSE)*VLOOKUP($D$18,TPerfil[],3,FALSE)+(VLOOKUP(E49,TValor[],3,FALSE)+VLOOKUP(F49,TValor[],3,FALSE))*VLOOKUP(LEFT($E$18,1),TPerfil[],3,FALSE)+(VLOOKUP(G49,TValor[],3,FALSE)+VLOOKUP(H49,TValor[],3,FALSE)+VLOOKUP(I49,TValor[],3,FALSE)+VLOOKUP(J49,TValor[],3,FALSE)+VLOOKUP(K49,TValor[],3,FALSE)+VLOOKUP(L49,TValor[],3,FALSE)+VLOOKUP(M49,TValor[],3,FALSE)+VLOOKUP(N49,TValor[],3,FALSE))*VLOOKUP(LEFT($G$18,1),TPerfil[],3,FALSE)</f>
        <v>8.1649999999999991</v>
      </c>
      <c r="Q49" s="31">
        <v>0.01</v>
      </c>
      <c r="R49" s="32">
        <f t="shared" si="0"/>
        <v>8.1649999999999986E-2</v>
      </c>
    </row>
    <row r="50" spans="2:18">
      <c r="B50" s="27">
        <v>32</v>
      </c>
      <c r="C50" s="28" t="s">
        <v>29</v>
      </c>
      <c r="D50" s="29" t="s">
        <v>55</v>
      </c>
      <c r="E50" s="29" t="s">
        <v>54</v>
      </c>
      <c r="F50" s="29" t="s">
        <v>53</v>
      </c>
      <c r="G50" s="29" t="s">
        <v>55</v>
      </c>
      <c r="H50" s="29" t="s">
        <v>54</v>
      </c>
      <c r="I50" s="29" t="s">
        <v>53</v>
      </c>
      <c r="J50" s="29" t="s">
        <v>55</v>
      </c>
      <c r="K50" s="29" t="s">
        <v>54</v>
      </c>
      <c r="L50" s="29" t="s">
        <v>53</v>
      </c>
      <c r="M50" s="29" t="s">
        <v>55</v>
      </c>
      <c r="N50" s="29" t="s">
        <v>53</v>
      </c>
      <c r="O50" s="32">
        <f>VLOOKUP(D50,TValor[],3,FALSE)+VLOOKUP(E50,TValor[],3,FALSE)+VLOOKUP(F50,TValor[],3,FALSE)+VLOOKUP(G50,TValor[],3,FALSE)+VLOOKUP(H50,TValor[],3,FALSE)+VLOOKUP(I50,TValor[],3,FALSE)+VLOOKUP(J50,TValor[],3,FALSE)+VLOOKUP(K50,TValor[],3,FALSE)+VLOOKUP(L50,TValor[],3,FALSE)+VLOOKUP(M50,TValor[],3,FALSE)+VLOOKUP(N50,TValor[],3,FALSE)</f>
        <v>72.999999999999986</v>
      </c>
      <c r="P50" s="30">
        <f>VLOOKUP(D50,TValor[],3,FALSE)*VLOOKUP($D$18,TPerfil[],3,FALSE)+(VLOOKUP(E50,TValor[],3,FALSE)+VLOOKUP(F50,TValor[],3,FALSE))*VLOOKUP(LEFT($E$18,1),TPerfil[],3,FALSE)+(VLOOKUP(G50,TValor[],3,FALSE)+VLOOKUP(H50,TValor[],3,FALSE)+VLOOKUP(I50,TValor[],3,FALSE)+VLOOKUP(J50,TValor[],3,FALSE)+VLOOKUP(K50,TValor[],3,FALSE)+VLOOKUP(L50,TValor[],3,FALSE)+VLOOKUP(M50,TValor[],3,FALSE)+VLOOKUP(N50,TValor[],3,FALSE))*VLOOKUP(LEFT($G$18,1),TPerfil[],3,FALSE)</f>
        <v>8.1649999999999991</v>
      </c>
      <c r="Q50" s="31">
        <v>0.02</v>
      </c>
      <c r="R50" s="32">
        <f t="shared" si="0"/>
        <v>0.16329999999999997</v>
      </c>
    </row>
    <row r="51" spans="2:18">
      <c r="B51" s="44" t="s">
        <v>32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7">
        <f>SUBTOTAL(109,[Ponderación conocimiento])</f>
        <v>1.0000000000000002</v>
      </c>
      <c r="R51" s="48">
        <f>IF(IFERROR(VLOOKUP(0,[Total],1,FALSE),SUBTOTAL(109,[Total general]))=0,"NO",SUBTOTAL(109,[Total general]))</f>
        <v>7.8706499999999959</v>
      </c>
    </row>
    <row r="52" spans="2:18"/>
    <row r="53" spans="2:18"/>
    <row r="54" spans="2:18"/>
  </sheetData>
  <sheetProtection password="BE3A" sheet="1" objects="1" scenarios="1"/>
  <mergeCells count="1">
    <mergeCell ref="D17:N17"/>
  </mergeCells>
  <conditionalFormatting sqref="Q19:Q50">
    <cfRule type="colorScale" priority="7">
      <colorScale>
        <cfvo type="min" val="0"/>
        <cfvo type="max" val="0"/>
        <color rgb="FFFFEF9C"/>
        <color rgb="FF63BE7B"/>
      </colorScale>
    </cfRule>
  </conditionalFormatting>
  <conditionalFormatting sqref="D19:N50">
    <cfRule type="cellIs" dxfId="51" priority="2" operator="equal">
      <formula>"ALTO"</formula>
    </cfRule>
    <cfRule type="cellIs" dxfId="50" priority="3" operator="equal">
      <formula>"MEDIO"</formula>
    </cfRule>
    <cfRule type="cellIs" dxfId="49" priority="4" operator="equal">
      <formula>"BAJO"</formula>
    </cfRule>
    <cfRule type="cellIs" dxfId="48" priority="5" operator="equal">
      <formula>"NULO"</formula>
    </cfRule>
  </conditionalFormatting>
  <conditionalFormatting sqref="D11:D14">
    <cfRule type="cellIs" dxfId="47" priority="1" operator="equal">
      <formula>NO</formula>
    </cfRule>
  </conditionalFormatting>
  <dataValidations count="1">
    <dataValidation type="list" allowBlank="1" showInputMessage="1" showErrorMessage="1" sqref="D19:N50">
      <formula1>RValores</formula1>
    </dataValidation>
  </dataValidations>
  <pageMargins left="0.31496062992125984" right="0.19685039370078741" top="0.74803149606299213" bottom="0.74803149606299213" header="0.31496062992125984" footer="0.31496062992125984"/>
  <pageSetup paperSize="9" scale="80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TOTAL</vt:lpstr>
      <vt:lpstr>Titulación</vt:lpstr>
      <vt:lpstr>Certificaciones</vt:lpstr>
      <vt:lpstr>Experiencia</vt:lpstr>
      <vt:lpstr>Idioma</vt:lpstr>
      <vt:lpstr>Capacitación</vt:lpstr>
      <vt:lpstr>RIdioma</vt:lpstr>
      <vt:lpstr>RTitulaciones</vt:lpstr>
      <vt:lpstr>RValores</vt:lpstr>
      <vt:lpstr>Capacitación!Títulos_a_imprimir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luis.fernandez</dc:creator>
  <cp:lastModifiedBy>Juan Díez González</cp:lastModifiedBy>
  <cp:lastPrinted>2014-08-07T07:03:01Z</cp:lastPrinted>
  <dcterms:created xsi:type="dcterms:W3CDTF">2014-08-01T07:28:13Z</dcterms:created>
  <dcterms:modified xsi:type="dcterms:W3CDTF">2014-08-28T08:30:07Z</dcterms:modified>
</cp:coreProperties>
</file>